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Solar01\OneDrive\Documentos\ALUMIFIX\FERRAMENTAS\DIMENSIONAMENTO INVERSOR\"/>
    </mc:Choice>
  </mc:AlternateContent>
  <xr:revisionPtr revIDLastSave="0" documentId="13_ncr:1_{397674AB-E802-4DFC-9375-A33839E42E36}" xr6:coauthVersionLast="47" xr6:coauthVersionMax="47" xr10:uidLastSave="{00000000-0000-0000-0000-000000000000}"/>
  <bookViews>
    <workbookView xWindow="-120" yWindow="-120" windowWidth="29040" windowHeight="15840" xr2:uid="{E27F634C-EE06-4185-824A-EC244D3AA624}"/>
  </bookViews>
  <sheets>
    <sheet name="DIMENSIONAMENTO" sheetId="1" r:id="rId1"/>
    <sheet name="INVERSORES" sheetId="2" state="veryHidden" r:id="rId2"/>
    <sheet name="MÓDULOS" sheetId="3" state="veryHidden" r:id="rId3"/>
    <sheet name="Modificações!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2" l="1"/>
  <c r="AJ6" i="2"/>
  <c r="AU6" i="2"/>
  <c r="AV6" i="2"/>
  <c r="AW6" i="2"/>
  <c r="AX6" i="2"/>
  <c r="AY6" i="2"/>
  <c r="AZ6" i="2"/>
  <c r="BA6" i="2"/>
  <c r="BC6" i="2"/>
  <c r="O61" i="1"/>
  <c r="B29" i="1"/>
  <c r="F19" i="1"/>
  <c r="S57" i="1"/>
  <c r="B90" i="1"/>
  <c r="E90" i="1" s="1"/>
  <c r="O58" i="1"/>
  <c r="O57" i="1"/>
  <c r="H68" i="1"/>
  <c r="I68" i="1"/>
  <c r="J68" i="1"/>
  <c r="K68" i="1"/>
  <c r="M68" i="1"/>
  <c r="H67" i="1"/>
  <c r="I67" i="1"/>
  <c r="J67" i="1"/>
  <c r="K67" i="1"/>
  <c r="L67" i="1"/>
  <c r="L68" i="1" s="1"/>
  <c r="M67" i="1"/>
  <c r="I64" i="1"/>
  <c r="I77" i="1" s="1"/>
  <c r="I78" i="1" s="1"/>
  <c r="J64" i="1"/>
  <c r="J73" i="1" s="1"/>
  <c r="J74" i="1" s="1"/>
  <c r="K64" i="1"/>
  <c r="K73" i="1" s="1"/>
  <c r="K74" i="1" s="1"/>
  <c r="L64" i="1"/>
  <c r="L77" i="1" s="1"/>
  <c r="L78" i="1" s="1"/>
  <c r="M64" i="1"/>
  <c r="M77" i="1" s="1"/>
  <c r="M78" i="1" s="1"/>
  <c r="H64" i="1"/>
  <c r="H77" i="1" s="1"/>
  <c r="H78" i="1" s="1"/>
  <c r="I63" i="1"/>
  <c r="J63" i="1"/>
  <c r="K63" i="1"/>
  <c r="L63" i="1"/>
  <c r="M63" i="1"/>
  <c r="H63" i="1"/>
  <c r="M62" i="1"/>
  <c r="K62" i="1"/>
  <c r="AH60" i="1"/>
  <c r="AI60" i="1"/>
  <c r="AJ60" i="1"/>
  <c r="AK60" i="1"/>
  <c r="AL60" i="1"/>
  <c r="AM60" i="1"/>
  <c r="AH61" i="1"/>
  <c r="AI61" i="1"/>
  <c r="AJ61" i="1"/>
  <c r="AK61" i="1"/>
  <c r="AL61" i="1"/>
  <c r="AM61" i="1"/>
  <c r="AH62" i="1"/>
  <c r="AI62" i="1"/>
  <c r="AJ62" i="1"/>
  <c r="AK62" i="1"/>
  <c r="AL62" i="1"/>
  <c r="AM62" i="1"/>
  <c r="AH59" i="1"/>
  <c r="AI59" i="1"/>
  <c r="AJ59" i="1"/>
  <c r="AK59" i="1"/>
  <c r="AL59" i="1"/>
  <c r="AM59" i="1"/>
  <c r="B6" i="1"/>
  <c r="B5" i="1"/>
  <c r="AJ13" i="1"/>
  <c r="AJ12" i="1"/>
  <c r="AG13" i="1"/>
  <c r="AG12" i="1"/>
  <c r="AD13" i="1"/>
  <c r="AD12" i="1"/>
  <c r="AD11" i="1"/>
  <c r="AD10" i="1"/>
  <c r="AD9" i="1"/>
  <c r="AD8" i="1"/>
  <c r="AG11" i="1"/>
  <c r="AG10" i="1"/>
  <c r="AG9" i="1"/>
  <c r="AG8" i="1"/>
  <c r="AJ11" i="1"/>
  <c r="AJ10" i="1"/>
  <c r="AJ9" i="1"/>
  <c r="AJ8" i="1"/>
  <c r="AJ7" i="1"/>
  <c r="AJ6" i="1"/>
  <c r="AJ5" i="1"/>
  <c r="AJ4" i="1"/>
  <c r="AJ3" i="1"/>
  <c r="AJ2" i="1"/>
  <c r="X43" i="3"/>
  <c r="U43" i="3"/>
  <c r="AD2" i="1"/>
  <c r="AG2" i="1"/>
  <c r="AD3" i="1"/>
  <c r="AG3" i="1"/>
  <c r="AD4" i="1"/>
  <c r="AG4" i="1"/>
  <c r="AD5" i="1"/>
  <c r="AG5" i="1"/>
  <c r="AD6" i="1"/>
  <c r="AG6" i="1"/>
  <c r="AD7" i="1"/>
  <c r="AG7" i="1"/>
  <c r="B23" i="1"/>
  <c r="B22" i="1"/>
  <c r="B21" i="1"/>
  <c r="B20" i="1"/>
  <c r="R16" i="3"/>
  <c r="S16" i="3"/>
  <c r="S41" i="3"/>
  <c r="S39" i="3"/>
  <c r="L75" i="1" l="1"/>
  <c r="J69" i="1"/>
  <c r="J71" i="1" s="1"/>
  <c r="K69" i="1"/>
  <c r="K71" i="1" s="1"/>
  <c r="J77" i="1"/>
  <c r="J78" i="1" s="1"/>
  <c r="J70" i="1"/>
  <c r="K75" i="1"/>
  <c r="L69" i="1"/>
  <c r="L71" i="1" s="1"/>
  <c r="J75" i="1"/>
  <c r="M76" i="1"/>
  <c r="I76" i="1"/>
  <c r="L76" i="1"/>
  <c r="H76" i="1"/>
  <c r="L73" i="1"/>
  <c r="L74" i="1" s="1"/>
  <c r="M69" i="1"/>
  <c r="M71" i="1" s="1"/>
  <c r="K70" i="1"/>
  <c r="M75" i="1"/>
  <c r="K77" i="1"/>
  <c r="M73" i="1"/>
  <c r="M74" i="1" s="1"/>
  <c r="M70" i="1"/>
  <c r="L70" i="1"/>
  <c r="I62" i="1"/>
  <c r="I69" i="1"/>
  <c r="I71" i="1" s="1"/>
  <c r="I70" i="1"/>
  <c r="I75" i="1"/>
  <c r="H69" i="1"/>
  <c r="H71" i="1" s="1"/>
  <c r="H70" i="1"/>
  <c r="H73" i="1"/>
  <c r="H74" i="1" s="1"/>
  <c r="H75" i="1"/>
  <c r="I73" i="1"/>
  <c r="I74" i="1" s="1"/>
  <c r="L62" i="1"/>
  <c r="H62" i="1"/>
  <c r="J62" i="1"/>
  <c r="AI15" i="1"/>
  <c r="AF15" i="1"/>
  <c r="AC15" i="1"/>
  <c r="M41" i="3"/>
  <c r="M39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M23" i="3"/>
  <c r="J76" i="1" l="1"/>
  <c r="K78" i="1"/>
  <c r="K76" i="1"/>
  <c r="B13" i="1"/>
  <c r="B12" i="1"/>
  <c r="B11" i="1"/>
  <c r="B10" i="1"/>
  <c r="B9" i="1"/>
  <c r="B7" i="1"/>
  <c r="M57" i="1" l="1"/>
  <c r="G57" i="1"/>
  <c r="B57" i="1"/>
  <c r="L57" i="1"/>
  <c r="F57" i="1"/>
  <c r="H57" i="1"/>
  <c r="K57" i="1"/>
  <c r="E57" i="1"/>
  <c r="I57" i="1"/>
  <c r="C57" i="1"/>
  <c r="J57" i="1"/>
  <c r="D57" i="1"/>
  <c r="B8" i="1"/>
  <c r="B84" i="1" s="1"/>
  <c r="L23" i="3"/>
  <c r="L22" i="3"/>
  <c r="M22" i="3"/>
  <c r="C22" i="3"/>
  <c r="D22" i="3"/>
  <c r="E22" i="3"/>
  <c r="F22" i="3"/>
  <c r="G22" i="3"/>
  <c r="H22" i="3"/>
  <c r="I22" i="3"/>
  <c r="J22" i="3"/>
  <c r="K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23" i="3"/>
  <c r="D23" i="3"/>
  <c r="E23" i="3"/>
  <c r="F23" i="3"/>
  <c r="G23" i="3"/>
  <c r="H23" i="3"/>
  <c r="I23" i="3"/>
  <c r="J23" i="3"/>
  <c r="K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24" i="3"/>
  <c r="D24" i="3"/>
  <c r="E24" i="3"/>
  <c r="F24" i="3"/>
  <c r="G24" i="3"/>
  <c r="H24" i="3"/>
  <c r="I24" i="3"/>
  <c r="J24" i="3"/>
  <c r="K24" i="3"/>
  <c r="L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25" i="3"/>
  <c r="D25" i="3"/>
  <c r="E25" i="3"/>
  <c r="F25" i="3"/>
  <c r="G25" i="3"/>
  <c r="H25" i="3"/>
  <c r="I25" i="3"/>
  <c r="J25" i="3"/>
  <c r="K25" i="3"/>
  <c r="L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26" i="3"/>
  <c r="D26" i="3"/>
  <c r="E26" i="3"/>
  <c r="F26" i="3"/>
  <c r="G26" i="3"/>
  <c r="H26" i="3"/>
  <c r="I26" i="3"/>
  <c r="J26" i="3"/>
  <c r="K26" i="3"/>
  <c r="L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B26" i="3"/>
  <c r="B25" i="3"/>
  <c r="B24" i="3"/>
  <c r="B23" i="3"/>
  <c r="B22" i="3"/>
  <c r="B36" i="1"/>
  <c r="B35" i="1"/>
  <c r="B34" i="1"/>
  <c r="B33" i="1"/>
  <c r="B32" i="1"/>
  <c r="B31" i="1"/>
  <c r="B30" i="1"/>
  <c r="C66" i="1" l="1"/>
  <c r="C65" i="1" s="1"/>
  <c r="D66" i="1"/>
  <c r="D65" i="1" s="1"/>
  <c r="H66" i="1"/>
  <c r="H65" i="1" s="1"/>
  <c r="J66" i="1"/>
  <c r="J65" i="1" s="1"/>
  <c r="F66" i="1"/>
  <c r="F65" i="1" s="1"/>
  <c r="L66" i="1"/>
  <c r="L65" i="1"/>
  <c r="I66" i="1"/>
  <c r="I65" i="1" s="1"/>
  <c r="B66" i="1"/>
  <c r="B65" i="1" s="1"/>
  <c r="E66" i="1"/>
  <c r="E65" i="1" s="1"/>
  <c r="G66" i="1"/>
  <c r="G65" i="1" s="1"/>
  <c r="K66" i="1"/>
  <c r="K65" i="1" s="1"/>
  <c r="M66" i="1"/>
  <c r="M65" i="1"/>
  <c r="B52" i="1"/>
  <c r="B43" i="1"/>
  <c r="B42" i="1"/>
  <c r="B28" i="1"/>
  <c r="B16" i="1"/>
  <c r="C26" i="1" l="1"/>
  <c r="AC52" i="1" l="1"/>
  <c r="AC29" i="1" l="1"/>
  <c r="AC26" i="1"/>
  <c r="AC25" i="1"/>
  <c r="AC20" i="1"/>
  <c r="AC19" i="1"/>
  <c r="AC18" i="1"/>
  <c r="AD25" i="1" l="1"/>
  <c r="AF60" i="1"/>
  <c r="AG60" i="1"/>
  <c r="AF61" i="1"/>
  <c r="AG61" i="1"/>
  <c r="AF62" i="1"/>
  <c r="AG62" i="1"/>
  <c r="F64" i="1"/>
  <c r="G64" i="1"/>
  <c r="AG59" i="1"/>
  <c r="AF59" i="1"/>
  <c r="F63" i="1"/>
  <c r="G63" i="1"/>
  <c r="AC51" i="1"/>
  <c r="F62" i="1" l="1"/>
  <c r="G62" i="1"/>
  <c r="R61" i="1" l="1"/>
  <c r="B15" i="1"/>
  <c r="B14" i="1"/>
  <c r="AE51" i="1" l="1"/>
  <c r="B39" i="1" l="1"/>
  <c r="F67" i="1"/>
  <c r="F68" i="1" s="1"/>
  <c r="G67" i="1"/>
  <c r="G68" i="1" s="1"/>
  <c r="D63" i="1"/>
  <c r="E63" i="1"/>
  <c r="D64" i="1"/>
  <c r="B53" i="1" l="1"/>
  <c r="O62" i="1"/>
  <c r="G69" i="1"/>
  <c r="F69" i="1"/>
  <c r="D69" i="1"/>
  <c r="AE52" i="1"/>
  <c r="E67" i="1"/>
  <c r="E68" i="1" s="1"/>
  <c r="D67" i="1"/>
  <c r="D68" i="1" s="1"/>
  <c r="C67" i="1"/>
  <c r="C68" i="1" s="1"/>
  <c r="B67" i="1"/>
  <c r="B68" i="1" s="1"/>
  <c r="E64" i="1"/>
  <c r="C64" i="1"/>
  <c r="B64" i="1"/>
  <c r="C63" i="1"/>
  <c r="B63" i="1"/>
  <c r="AE62" i="1"/>
  <c r="AD62" i="1"/>
  <c r="AC62" i="1"/>
  <c r="AB62" i="1"/>
  <c r="AE61" i="1"/>
  <c r="AD61" i="1"/>
  <c r="AC61" i="1"/>
  <c r="AB61" i="1"/>
  <c r="AE60" i="1"/>
  <c r="AD60" i="1"/>
  <c r="AC60" i="1"/>
  <c r="AB60" i="1"/>
  <c r="AE59" i="1"/>
  <c r="AD59" i="1"/>
  <c r="AC59" i="1"/>
  <c r="AB59" i="1"/>
  <c r="B44" i="1"/>
  <c r="B41" i="1"/>
  <c r="B40" i="1"/>
  <c r="N63" i="1" l="1"/>
  <c r="N55" i="1"/>
  <c r="AG69" i="1"/>
  <c r="G75" i="1"/>
  <c r="F75" i="1"/>
  <c r="D75" i="1"/>
  <c r="E75" i="1"/>
  <c r="B75" i="1"/>
  <c r="C75" i="1"/>
  <c r="D70" i="1"/>
  <c r="D72" i="1" s="1"/>
  <c r="G70" i="1"/>
  <c r="G72" i="1" s="1"/>
  <c r="F70" i="1"/>
  <c r="F72" i="1" s="1"/>
  <c r="G77" i="1"/>
  <c r="F77" i="1"/>
  <c r="F78" i="1" s="1"/>
  <c r="C69" i="1"/>
  <c r="B69" i="1"/>
  <c r="E69" i="1"/>
  <c r="E70" i="1"/>
  <c r="E72" i="1" s="1"/>
  <c r="B54" i="1"/>
  <c r="B70" i="1"/>
  <c r="B72" i="1" s="1"/>
  <c r="C70" i="1"/>
  <c r="C72" i="1" s="1"/>
  <c r="E62" i="1"/>
  <c r="D62" i="1"/>
  <c r="C62" i="1"/>
  <c r="D77" i="1"/>
  <c r="D78" i="1" s="1"/>
  <c r="C77" i="1"/>
  <c r="C78" i="1" s="1"/>
  <c r="E77" i="1"/>
  <c r="E78" i="1" s="1"/>
  <c r="B77" i="1"/>
  <c r="B78" i="1" s="1"/>
  <c r="AG67" i="1"/>
  <c r="B62" i="1"/>
  <c r="D73" i="1"/>
  <c r="D74" i="1" s="1"/>
  <c r="F73" i="1"/>
  <c r="F74" i="1" s="1"/>
  <c r="G73" i="1"/>
  <c r="G74" i="1" s="1"/>
  <c r="B50" i="1"/>
  <c r="D71" i="1" s="1"/>
  <c r="B83" i="1"/>
  <c r="B82" i="1"/>
  <c r="C73" i="1"/>
  <c r="C74" i="1" s="1"/>
  <c r="B51" i="1"/>
  <c r="E73" i="1"/>
  <c r="P61" i="1"/>
  <c r="B103" i="1" s="1"/>
  <c r="B73" i="1"/>
  <c r="G78" i="1" l="1"/>
  <c r="G76" i="1"/>
  <c r="N56" i="1"/>
  <c r="F76" i="1"/>
  <c r="G71" i="1"/>
  <c r="F71" i="1"/>
  <c r="D76" i="1"/>
  <c r="E71" i="1"/>
  <c r="B76" i="1"/>
  <c r="E76" i="1"/>
  <c r="B71" i="1"/>
  <c r="C71" i="1"/>
  <c r="C76" i="1"/>
  <c r="B85" i="1"/>
  <c r="Q62" i="1" s="1"/>
  <c r="AG71" i="1"/>
  <c r="B89" i="1" s="1"/>
  <c r="E74" i="1"/>
  <c r="AG64" i="1"/>
  <c r="AD73" i="1" s="1"/>
  <c r="AE73" i="1" s="1"/>
  <c r="Q61" i="1"/>
  <c r="B104" i="1"/>
  <c r="B105" i="1" s="1"/>
  <c r="B45" i="1"/>
  <c r="B46" i="1"/>
  <c r="B74" i="1"/>
  <c r="B80" i="1" l="1"/>
  <c r="S63" i="1"/>
  <c r="C85" i="1"/>
</calcChain>
</file>

<file path=xl/sharedStrings.xml><?xml version="1.0" encoding="utf-8"?>
<sst xmlns="http://schemas.openxmlformats.org/spreadsheetml/2006/main" count="973" uniqueCount="711">
  <si>
    <t>Potência máxima CC entrada [kWp]</t>
  </si>
  <si>
    <t>Tensão CC máxima de entrada [V]</t>
  </si>
  <si>
    <t>Tensão mínima CC de entrada [V]</t>
  </si>
  <si>
    <t>Potência de saída CA nominal [kW]</t>
  </si>
  <si>
    <t>MÓDULO</t>
  </si>
  <si>
    <t>R$</t>
  </si>
  <si>
    <t>R$/Wp</t>
  </si>
  <si>
    <t>Potência do módulo [Wp]</t>
  </si>
  <si>
    <t>Temperatura mínima local [°C]</t>
  </si>
  <si>
    <t>Temperatura máxima local [°C]</t>
  </si>
  <si>
    <t>Temperatura nominal [°C]</t>
  </si>
  <si>
    <t>Coeficiente de tensão [%/°C]</t>
  </si>
  <si>
    <t>Coeficiente de corrente [%/°C]</t>
  </si>
  <si>
    <t>Coeficiente de potência [%/°C]</t>
  </si>
  <si>
    <t>Tensão no ponto de máxima potência (Vmp) [V]</t>
  </si>
  <si>
    <t>Tensão de circuito aberto (Vca) [V]</t>
  </si>
  <si>
    <t>Corrente no ponto de máxima potência (Imp) [A]</t>
  </si>
  <si>
    <t>Corrente de curto-circuito (Icc) [A]</t>
  </si>
  <si>
    <t>Vmpp corrigida (por Tnom) [V]</t>
  </si>
  <si>
    <t>Impp corrigida (por Tmáx) [A]</t>
  </si>
  <si>
    <t>Isc corrigida (por Tmáx) [A]</t>
  </si>
  <si>
    <t>Potência do módulo na máxima temperatura [W]</t>
  </si>
  <si>
    <t>Tensão máxima da série [V]</t>
  </si>
  <si>
    <t>Tensão do MPPT na máxima potência (em Tmín) [V]</t>
  </si>
  <si>
    <t>String 1</t>
  </si>
  <si>
    <t>String 2</t>
  </si>
  <si>
    <t>TOTAL</t>
  </si>
  <si>
    <t>kWp</t>
  </si>
  <si>
    <t>String 3</t>
  </si>
  <si>
    <t>String 4</t>
  </si>
  <si>
    <t>Potência por MPPT [kWp]</t>
  </si>
  <si>
    <t>Potência dos módulos na máxima temperatura [kWp]</t>
  </si>
  <si>
    <t>Potência CC do projeto [kWp]</t>
  </si>
  <si>
    <t>Fator de dimensionamento considerado no projeto</t>
  </si>
  <si>
    <t>Geração projetada [kWh/dia]</t>
  </si>
  <si>
    <t>Geração projetada [kWh/mês]</t>
  </si>
  <si>
    <t>Geração projetada [kWh/ano]</t>
  </si>
  <si>
    <t>Potência máxima CC entrada (kWp)</t>
  </si>
  <si>
    <t>Tensão máxima CC de entrada (Vcc)</t>
  </si>
  <si>
    <t>Tensão mínima CC de entrada (Vcc)</t>
  </si>
  <si>
    <t>Número de mppt's</t>
  </si>
  <si>
    <t>Potência de saída CA nominal (kW)</t>
  </si>
  <si>
    <t>MPPT máx</t>
  </si>
  <si>
    <t>INVERSORES</t>
  </si>
  <si>
    <t>Número do MPPT</t>
  </si>
  <si>
    <t>DAH 320Wp</t>
  </si>
  <si>
    <t>DAH 330Wp</t>
  </si>
  <si>
    <t>DAH 400Wp</t>
  </si>
  <si>
    <t>OSDA 340Wp</t>
  </si>
  <si>
    <t>Número de strings MPPT1</t>
  </si>
  <si>
    <t>Número de strings MPPT2</t>
  </si>
  <si>
    <t>Número de strings MPPT3</t>
  </si>
  <si>
    <t>Número de strings MPPT4</t>
  </si>
  <si>
    <t>Número de strings MPPT5</t>
  </si>
  <si>
    <t>Número de strings MPPT6</t>
  </si>
  <si>
    <t>Número mínimo de módulos para operação do inversor</t>
  </si>
  <si>
    <t>MPPT min</t>
  </si>
  <si>
    <t>Corrente MPPT1</t>
  </si>
  <si>
    <t>Corrente MPPT2</t>
  </si>
  <si>
    <t>Corrente MPPT3</t>
  </si>
  <si>
    <t>Corrente MPPT4</t>
  </si>
  <si>
    <t>Corrente MPPT5</t>
  </si>
  <si>
    <t>Corrente MPPT6</t>
  </si>
  <si>
    <t xml:space="preserve">Voc corrigida (por Tmín) [V] </t>
  </si>
  <si>
    <t>QTDE MÓD MIN</t>
  </si>
  <si>
    <t>por Voc</t>
  </si>
  <si>
    <t>por Vmp</t>
  </si>
  <si>
    <t xml:space="preserve">strings/mppt1 = </t>
  </si>
  <si>
    <t xml:space="preserve">strings/mppt2 = </t>
  </si>
  <si>
    <t xml:space="preserve">strings/mppt3 = </t>
  </si>
  <si>
    <t xml:space="preserve">strings/mppt4 = </t>
  </si>
  <si>
    <t xml:space="preserve">strings/mppt5 = </t>
  </si>
  <si>
    <t xml:space="preserve">strings/mppt6 = </t>
  </si>
  <si>
    <t>STRINGS</t>
  </si>
  <si>
    <t>CORRENTES</t>
  </si>
  <si>
    <t>corrente/mppt2 =</t>
  </si>
  <si>
    <t>corrente/mppt3 =</t>
  </si>
  <si>
    <t>corrente/mppt4 =</t>
  </si>
  <si>
    <t>corrente/mppt5 =</t>
  </si>
  <si>
    <t>corrente/mppt6 =</t>
  </si>
  <si>
    <t xml:space="preserve">corrente/mppt1 = </t>
  </si>
  <si>
    <t>fórmula:</t>
  </si>
  <si>
    <t>Tensão mínima de trabalho do MPPT [V]</t>
  </si>
  <si>
    <t>Tensão máxima de trabalho do MPPT [V]</t>
  </si>
  <si>
    <t>start inv</t>
  </si>
  <si>
    <t>mppt min</t>
  </si>
  <si>
    <t>Número máximo de módulos  em série para o inversor</t>
  </si>
  <si>
    <t>MAPA MPPT E STRING ZEROS E UNS</t>
  </si>
  <si>
    <t>FÓRMULA GRANDE STRING BOX (4x MPPT):</t>
  </si>
  <si>
    <t>ENTRADAS:</t>
  </si>
  <si>
    <t>SAÍDAS:</t>
  </si>
  <si>
    <t>fórmula antiga de string box</t>
  </si>
  <si>
    <t>TENSÃO:</t>
  </si>
  <si>
    <t>Corrente máxima MPPTs [A]</t>
  </si>
  <si>
    <t>Quantidade de módulos [Vmp em Tnom] para eficiência máxima</t>
  </si>
  <si>
    <t>PROJETO</t>
  </si>
  <si>
    <t>Performance do sistema [%]</t>
  </si>
  <si>
    <t>string1</t>
  </si>
  <si>
    <t>string2</t>
  </si>
  <si>
    <t>string3</t>
  </si>
  <si>
    <t>string4</t>
  </si>
  <si>
    <t>string5</t>
  </si>
  <si>
    <t>string6</t>
  </si>
  <si>
    <t>total de string =</t>
  </si>
  <si>
    <t>projetando para</t>
  </si>
  <si>
    <t>N/A para as strings por MPPT</t>
  </si>
  <si>
    <t xml:space="preserve">problema são os inversores </t>
  </si>
  <si>
    <t>com 1+2</t>
  </si>
  <si>
    <t>Módulos por string (pelo FDI, usando total de strings)</t>
  </si>
  <si>
    <t>Vmpp corrigida (por Tmax) [V]</t>
  </si>
  <si>
    <t>Tensão Vmp mínima da string [V em Tmax]</t>
  </si>
  <si>
    <t>Tensão Vmp mínima da string [V em Tnom]</t>
  </si>
  <si>
    <t>Aproximação da tensão de máxima eficiência [Tnom, 1 = mais próximo]</t>
  </si>
  <si>
    <t>^ Verificações</t>
  </si>
  <si>
    <t>DAH 540Wp</t>
  </si>
  <si>
    <t>SUNOVA 550Wp</t>
  </si>
  <si>
    <t>DAH 440Wp</t>
  </si>
  <si>
    <t>VERSÃO</t>
  </si>
  <si>
    <t>v1</t>
  </si>
  <si>
    <t>v2</t>
  </si>
  <si>
    <t>v3</t>
  </si>
  <si>
    <t>v4</t>
  </si>
  <si>
    <t>v5.1.0</t>
  </si>
  <si>
    <t>lançamento da planilha de dimensionamento de inversores</t>
  </si>
  <si>
    <t>ATUALIZAÇÕES</t>
  </si>
  <si>
    <t>??</t>
  </si>
  <si>
    <t>retomada da v2</t>
  </si>
  <si>
    <t>projeto com mapeamento de MPPTs (MPPTs independentes)</t>
  </si>
  <si>
    <t>inclusão da aba "Modificações!" para acompanhamento do desenvolvimento</t>
  </si>
  <si>
    <t>travamento de células para evitar sobrescrevê-las</t>
  </si>
  <si>
    <t>verificações de conformidade dos MPPTs/strings</t>
  </si>
  <si>
    <t>banco de dados dos inversores destacado (aba "INVERSORES")</t>
  </si>
  <si>
    <t>banco de dados dos inversores selecionável via lista suspensa (puxa os dados dos inversores de "INVERSORES")</t>
  </si>
  <si>
    <t>banco de dados dos módulos destacado e selecionável via lista suspensa (puxa os dados dos módulos de "MÓDULOS")</t>
  </si>
  <si>
    <t>ocultamento de informações irrelevantes dos módulos</t>
  </si>
  <si>
    <t>a partir de agora será usada a nomenclatura "X.Y.Z" ao invés de v1, v2, v3...</t>
  </si>
  <si>
    <t>v5 (v5.0.0)</t>
  </si>
  <si>
    <t>"v5" renomeada como "v5.0.0"</t>
  </si>
  <si>
    <t>inclusão de +2 MPPTs no mapeamento (total de 6)</t>
  </si>
  <si>
    <t>verificação individual de strings por MPPT (cada MPPT tem a sua quantidade correta de strings)</t>
  </si>
  <si>
    <t>inclusão da aproximação da tensão de eficiência máxima baseada na Tnominal</t>
  </si>
  <si>
    <t>inclusão do número de módulos mínimos para a série (ou seja, para start do inversor) baseada na Tmáxima</t>
  </si>
  <si>
    <t>inclusão da string box pré-sugerida</t>
  </si>
  <si>
    <t>inclusão da informação "Módulo e inversor" ao lado do mapa das strings</t>
  </si>
  <si>
    <r>
      <t xml:space="preserve">a partir de agora, arquivamento de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versões após lançamento</t>
    </r>
  </si>
  <si>
    <r>
      <t xml:space="preserve">a partir de agora,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atualizações aparecerão na nova aba "Modificações!"</t>
    </r>
  </si>
  <si>
    <t>inclusão da data no canto superior esquerdo</t>
  </si>
  <si>
    <r>
      <t xml:space="preserve">String Box </t>
    </r>
    <r>
      <rPr>
        <b/>
        <sz val="11"/>
        <color theme="1"/>
        <rFont val="Calibri"/>
        <family val="2"/>
        <scheme val="minor"/>
      </rPr>
      <t>pré-definida</t>
    </r>
  </si>
  <si>
    <t>substituição do "nome + data" por "versão + data"</t>
  </si>
  <si>
    <t>Preço (R$)</t>
  </si>
  <si>
    <t>ampliação da capacidade do banco de dados dos módulos</t>
  </si>
  <si>
    <t>inclusão de R$/Wp com R$ editável na aba "DIMENSIONAMENTO" para os módulos e na aba "MÓDULOS"</t>
  </si>
  <si>
    <t>string boxes pré-definidas atualizadas</t>
  </si>
  <si>
    <r>
      <rPr>
        <b/>
        <sz val="11"/>
        <color theme="1"/>
        <rFont val="Calibri"/>
        <family val="2"/>
        <scheme val="minor"/>
      </rPr>
      <t>ABANDONADO:</t>
    </r>
    <r>
      <rPr>
        <sz val="11"/>
        <color theme="1"/>
        <rFont val="Calibri"/>
        <family val="2"/>
        <scheme val="minor"/>
      </rPr>
      <t xml:space="preserve"> projeto com tensões separadas de cada string do inversor para permitir variedade</t>
    </r>
  </si>
  <si>
    <t>senha: 2019@</t>
  </si>
  <si>
    <t>adição da célula "seleção neutra"</t>
  </si>
  <si>
    <t>v5.2.0</t>
  </si>
  <si>
    <t>inclusão da corrente de curto-circuito dos inversores (e cálculo correspondente)</t>
  </si>
  <si>
    <t>informação "+MOD" movida da tensão de eficiência máxima para as ^Verificações das Vmp</t>
  </si>
  <si>
    <t>CORRENTES DE CURTO</t>
  </si>
  <si>
    <t>Corrente de curto MPPT1</t>
  </si>
  <si>
    <t>Corrente de curto MPPT2</t>
  </si>
  <si>
    <t>Corrente de curto MPPT3</t>
  </si>
  <si>
    <t>Corrente de curto MPPT4</t>
  </si>
  <si>
    <t>Corrente de curto MPPT5</t>
  </si>
  <si>
    <t>Corrente de curto MPPT6</t>
  </si>
  <si>
    <t>Corrente de curto-circuito máxima MPPTs [A]</t>
  </si>
  <si>
    <t>v5.2.1</t>
  </si>
  <si>
    <t>adicionada informação "N/A" (não se aplica) à "aproximação da máxima eficiência" e às correntes de curto</t>
  </si>
  <si>
    <t>v5.3.0</t>
  </si>
  <si>
    <t>atualizada coluna "versão" em "Modificações!" (desfeita a mesclagem de células, mantida em uma única célula)</t>
  </si>
  <si>
    <t>adicionada uma coluna para inversor editável em "INVERSORES"</t>
  </si>
  <si>
    <t>EDITÁVEL</t>
  </si>
  <si>
    <t>TESTE</t>
  </si>
  <si>
    <t>adicionado módulo OSDA 450Wp</t>
  </si>
  <si>
    <t>adicionada observação sobre inversor editável na aba principal</t>
  </si>
  <si>
    <t>corrigida informação "+MOD" na aba principal (calculava apenas para a string 1, agora calcula para todas)</t>
  </si>
  <si>
    <t>obs.:</t>
  </si>
  <si>
    <t>adicionada observação "preencher as strings em ordem" acima do mapa de strings</t>
  </si>
  <si>
    <t>adicionados inversores trifásicos 10kW-220V e 10kW-380V</t>
  </si>
  <si>
    <t>remoção do R$/Wp (ocultado)</t>
  </si>
  <si>
    <t>inversores Deye monofásicos renomeados com "(mono)"</t>
  </si>
  <si>
    <t>adicionado alerta de F.D. no resumo ao lado do mapa de strings</t>
  </si>
  <si>
    <t>remoção da célula "seleção neutra"</t>
  </si>
  <si>
    <t>adicionado F.D. do manual para o resumo ao lado do mapa de strings</t>
  </si>
  <si>
    <t>alertas próximos ao mapa de strings reposicionados</t>
  </si>
  <si>
    <t>adicionada uma coluna para módulo editável em "MÓDULOS"</t>
  </si>
  <si>
    <t>adicionada observação sobre módulo editável na aba principal</t>
  </si>
  <si>
    <t>v5.4.0</t>
  </si>
  <si>
    <t>adicionada verificação de potência máxima por MPPT</t>
  </si>
  <si>
    <t>Potência máxima por MPPT [kWp]</t>
  </si>
  <si>
    <t>adicionado módulo OSDA 450Wp (não havia sido adicionado na v5.3.0)</t>
  </si>
  <si>
    <t>OSDA 450Wp</t>
  </si>
  <si>
    <t>adicionada informação de potência máxima por MPPT</t>
  </si>
  <si>
    <t>v5.4.1</t>
  </si>
  <si>
    <t>adicionado módulo DAH 545Wp</t>
  </si>
  <si>
    <t>adicionado módulo OSDA 545Wp</t>
  </si>
  <si>
    <t>Corrente de curto-circuito (Isc) [A]</t>
  </si>
  <si>
    <t>Tensão de circuito aberto (Voc) [V]</t>
  </si>
  <si>
    <t>renomeadas informações dos módulos (Icc para Isc, Vca para Voc)</t>
  </si>
  <si>
    <t>DAH 545Wp</t>
  </si>
  <si>
    <t>OSDA 545Wp</t>
  </si>
  <si>
    <t>alteradas informações dos inversores Deye monofásicos de 3kW, 5kW e 8kW (corrente alterada para 13A e Isc para 19,5A, tensão de partida para 80V, tensão mín do MPPT para 70V, kWp do 8kW para 10,4)</t>
  </si>
  <si>
    <t>DATA</t>
  </si>
  <si>
    <t>inclusão do inversor SUN-75K-G03 (com 6 MPPTs)</t>
  </si>
  <si>
    <t>inclusão do módulo TRINA 540Wp</t>
  </si>
  <si>
    <t>inclusão do módulo DAH 550Wp</t>
  </si>
  <si>
    <t>inclusão do módulo SHINEFAR 550Wp</t>
  </si>
  <si>
    <t>SHINEFAR 550Wp</t>
  </si>
  <si>
    <t>RESUN 550Wp</t>
  </si>
  <si>
    <t>TRINA 540Wp</t>
  </si>
  <si>
    <t>exclusão das colunas A e B e congelamento da nova coluna A da aba "Módulos"</t>
  </si>
  <si>
    <t>Vmp &gt; Voc?</t>
  </si>
  <si>
    <t>Imp &gt; Isc?</t>
  </si>
  <si>
    <t>inclusão das comparações de Vmp e Voc, Imp e Isc, para detectar possíveis erros de preenchimento</t>
  </si>
  <si>
    <t>DAH 550Wp</t>
  </si>
  <si>
    <t>Coef. Tensão negativo?</t>
  </si>
  <si>
    <t>Coef. Corrente positivo?</t>
  </si>
  <si>
    <t>Coef. Potência negativo?</t>
  </si>
  <si>
    <t>inclusão da verificação do sinal dos coeficientes de tensão, potência e corrente, para detectar possíveis erros de preenchimento</t>
  </si>
  <si>
    <t>v5.4.2</t>
  </si>
  <si>
    <t>senha: 542 (novas senhas serão a versão da planilha)</t>
  </si>
  <si>
    <t>v5.4.3</t>
  </si>
  <si>
    <t>correção da data da versão da 5.4.2</t>
  </si>
  <si>
    <t>inclusão do módulo SHINEFAR 450Wp</t>
  </si>
  <si>
    <t>inclusão do módulo RESUN 550Wp</t>
  </si>
  <si>
    <t>correção do texto "inclusão do módulos RESUN 550Wp" para "inclusão do módulo RESUN 550Wp"</t>
  </si>
  <si>
    <t>inclusão do módulo SHINEFAR 465Wp</t>
  </si>
  <si>
    <t>inclusão do módulo OSDA 550Wp</t>
  </si>
  <si>
    <t>remoção do módulo HELIUS 380Wp</t>
  </si>
  <si>
    <t>remoção do módulo DAH 445Wp</t>
  </si>
  <si>
    <t>remoção do módulo OSDA 390Wp</t>
  </si>
  <si>
    <t>SHINEFAR 450Wp</t>
  </si>
  <si>
    <t>SHINEFAR 465Wp</t>
  </si>
  <si>
    <t>OSDA 550Wp</t>
  </si>
  <si>
    <t>alteração dos valores de Isc e Voc do módulo OSDA 545Wp (+3% em cada, pior caso do datasheet)</t>
  </si>
  <si>
    <t>remoção do módulo SUNERGY 440Wp</t>
  </si>
  <si>
    <t>remoção dos módulos LUXEN (todos)</t>
  </si>
  <si>
    <t>v5.4.4</t>
  </si>
  <si>
    <t>adição da linha "Máximo de módulos por MPPT" (A59)</t>
  </si>
  <si>
    <t>Máximo de módulos por MPPT (pela potência kWp)</t>
  </si>
  <si>
    <t>atualização dos inversores SUN-3K-G, SUN-5K-G e SUN-8K-G (tensões CC a até 550Vcc)</t>
  </si>
  <si>
    <t>atualização do inversor SUN-12K-G02-LV (potência kWp máxima a até 15,6kWp)</t>
  </si>
  <si>
    <t>atualização do inversor SUN-50K-G02-LV (renomeado para SUN-50K-G-LV, potência kWp máxima a até 65kWp, corrente máxima a até 40A, corrente de curto máxima a até 60A)</t>
  </si>
  <si>
    <t>atualização do inversor SUN-15K-G02-LV (potência kWh máxima a até 19,5kWp)</t>
  </si>
  <si>
    <t>atualização do inversor SUN-25K-G (renomeado para SUN-25K-G04)</t>
  </si>
  <si>
    <t>atualização do inversor SUN-35K-G (renomeado para SUN-35K-G04)</t>
  </si>
  <si>
    <t>invesores híbridos renomeados com HÍBRIDO no final</t>
  </si>
  <si>
    <t>v6.0.0</t>
  </si>
  <si>
    <t>remoção da observação de inversor editável</t>
  </si>
  <si>
    <t>registro INMETRO do inversor</t>
  </si>
  <si>
    <t>registro INMETRO</t>
  </si>
  <si>
    <t>007492/2019</t>
  </si>
  <si>
    <t>005635/2021</t>
  </si>
  <si>
    <t>001452/2020</t>
  </si>
  <si>
    <t>000300/2020</t>
  </si>
  <si>
    <t>001992/2021</t>
  </si>
  <si>
    <t>006338/2020</t>
  </si>
  <si>
    <t>003228/2021</t>
  </si>
  <si>
    <t>005461/2020</t>
  </si>
  <si>
    <t>007490/2019</t>
  </si>
  <si>
    <t>002092/2021</t>
  </si>
  <si>
    <t>001194/2021</t>
  </si>
  <si>
    <t>005958/2021</t>
  </si>
  <si>
    <t>005752/2021</t>
  </si>
  <si>
    <t>005693/2021</t>
  </si>
  <si>
    <t>aumento do range do PROCV das informações dos inversores (de 24 a 57)</t>
  </si>
  <si>
    <t>registro INMETRO do módulo</t>
  </si>
  <si>
    <t>modelo</t>
  </si>
  <si>
    <t>ARQUIVO</t>
  </si>
  <si>
    <t>SHINEFAR 665Wp</t>
  </si>
  <si>
    <t>008258/2021</t>
  </si>
  <si>
    <t>005692/2021</t>
  </si>
  <si>
    <t>inclusão SHINEFAR 665Wp e HONOR 550Wp</t>
  </si>
  <si>
    <t>criação de arquivo com módulos antigos</t>
  </si>
  <si>
    <t>remoção da possibilidade de módulo editável e remanejamento dos módulos selecionáveis</t>
  </si>
  <si>
    <t>remoção da possibilidade de inversor editável e remanejamento dos inversores selecionáveis</t>
  </si>
  <si>
    <t>inclusão do registro INMETRO do módulo selecionado (na aba módulos e visualmente na aba dimensionamento mendiante PROC)</t>
  </si>
  <si>
    <t>inclusão do registro INMETRO do inversor selecionado (na aba inversores e visualmente na aba dimensionamento mediante PROC)</t>
  </si>
  <si>
    <t>Isc original: 18,58</t>
  </si>
  <si>
    <t>**</t>
  </si>
  <si>
    <t>Isc do SHINEFAR 665 setado em 19,5 para vedar uso com inversores com mppt de 1 string</t>
  </si>
  <si>
    <t>ATENÇÃO!</t>
  </si>
  <si>
    <t>http://www.cresesb.cepel.br/index.php?section=sundata&amp;</t>
  </si>
  <si>
    <t>caso haja asterisco: inversor comporta mais strings, porém geralmente não é necessário</t>
  </si>
  <si>
    <t>String Box necessária para inversor nesta configuração</t>
  </si>
  <si>
    <t>criação das observações 1 e 2 abaixo dos resultados do cálculo de inversores</t>
  </si>
  <si>
    <t>criação do quadro de atenção</t>
  </si>
  <si>
    <t>ESTA PLANILHA, BEM COMO OS PARÂMETROS TÉCNICOS DOS INVERSORES, PODE SER ATUALIZADA SEM AVISO A QUALQUER MOMENTO.</t>
  </si>
  <si>
    <t>INSTALADOS NAS MESMAS CONDIÇÕES (INCLINAÇÃO, DESVIO AZIMUTAL ETC.)</t>
  </si>
  <si>
    <t>criação do aviso de módulos nas mesmas condições</t>
  </si>
  <si>
    <t>ocultamento da aproximação de tensão máxima</t>
  </si>
  <si>
    <t>ESTA PLANILHA PODE CONTER MÓDULOS E INVERSORES QUE JÁ NÃO ESTÃO MAIS DISPONÍVEIS PARA COMPRA. SEMPRE CONSULTAR O SETOR COMERCIAL PARA QUESTÕES REFERENTES A PRODUTOS DISPONÍVEIS.</t>
  </si>
  <si>
    <t>Eng. João Paulo Jakobi</t>
  </si>
  <si>
    <t>Suporte Técnico Alumifix Solar</t>
  </si>
  <si>
    <t xml:space="preserve"> Tipo de conexão à rede</t>
  </si>
  <si>
    <t>incluído tipo de conexão à rede dos inversores e também o PROC para visualizar na aba DIMENSIONAMENTO</t>
  </si>
  <si>
    <t>tipo de conexão à rede</t>
  </si>
  <si>
    <t>Monofásico 220V</t>
  </si>
  <si>
    <t>Trifásico 380V</t>
  </si>
  <si>
    <t>Trifásico 220V</t>
  </si>
  <si>
    <t>String Box da Alumifix pré-recomendada para este inversor</t>
  </si>
  <si>
    <t>corrigido bug da quantidade de saídas da string box (somava até 4 MPPT, agora soma até 6)</t>
  </si>
  <si>
    <t>em testes para liberar para uso externo</t>
  </si>
  <si>
    <t>corrigido texto "string box da alumifix recomendada..."</t>
  </si>
  <si>
    <t>inserido tensão de conexão dos inversores</t>
  </si>
  <si>
    <t>v6.1.0</t>
  </si>
  <si>
    <t>Obs.1: caso qualquer item conste "ACIMA" ou  "ERRO" ou "+MOD", é vedada a configuração testada</t>
  </si>
  <si>
    <t>006052/2022</t>
  </si>
  <si>
    <t>v6.2.0</t>
  </si>
  <si>
    <t>inclusão ASTRO 555Wp</t>
  </si>
  <si>
    <t>inclusão OSDA 575Wp</t>
  </si>
  <si>
    <t>v6.3.0</t>
  </si>
  <si>
    <t>inclusão das dimensões e peso dos módulos</t>
  </si>
  <si>
    <t>inclusão dos modelos dos módulos</t>
  </si>
  <si>
    <t>(observar a necessidade de fusível e a correta necessidade de montagem da string box)</t>
  </si>
  <si>
    <t>D86 mudado para: "(observar a necessidade de fusível e a correta necessidade de montagem da string box)"</t>
  </si>
  <si>
    <t>D87 mudado para: "(sugestão para um padrão de conexões pré-determinado)"</t>
  </si>
  <si>
    <t>Módulos organizados por potência</t>
  </si>
  <si>
    <t>Remoção do SUNOVA 550Wp</t>
  </si>
  <si>
    <t>Renomeamento dos módulos para o formato: "POTÊNCIA – MARCA"</t>
  </si>
  <si>
    <t>Remoção do OSDA 550Wp</t>
  </si>
  <si>
    <t>Remoção do SHINEFAR 450Wp</t>
  </si>
  <si>
    <t>Remoção do SHINEFAR 465Wp</t>
  </si>
  <si>
    <t>Remoção do SHINEFAR 665Wp</t>
  </si>
  <si>
    <t>Remoção do SHINEFAR 550Wp</t>
  </si>
  <si>
    <t>dimensões</t>
  </si>
  <si>
    <t>peso</t>
  </si>
  <si>
    <t>28,4 kg</t>
  </si>
  <si>
    <t>ODA575-36V-MH</t>
  </si>
  <si>
    <t>HY-M10/144H-550W</t>
  </si>
  <si>
    <t xml:space="preserve">CHSM72M-HC-555	</t>
  </si>
  <si>
    <t>29,4 kg</t>
  </si>
  <si>
    <t>2279 x 1134 x 35 mm</t>
  </si>
  <si>
    <t>26,6 kg</t>
  </si>
  <si>
    <t>550Wp – HONOR</t>
  </si>
  <si>
    <t>555Wp – ASTRO</t>
  </si>
  <si>
    <t>575Wp – OSDA</t>
  </si>
  <si>
    <t>D22 inclusão de: "*para mais informações consulte o datasheet"</t>
  </si>
  <si>
    <t>555Wp – JINERGY</t>
  </si>
  <si>
    <t>inclusão JINERGY 555Wp</t>
  </si>
  <si>
    <t>28 kg</t>
  </si>
  <si>
    <t>****</t>
  </si>
  <si>
    <t>****considerados +3% em Voc e Isc conforme datasheet</t>
  </si>
  <si>
    <t>inclusão OSDA 665Wp</t>
  </si>
  <si>
    <t>665Wp – OSDA</t>
  </si>
  <si>
    <t>ODA665-33V-MH</t>
  </si>
  <si>
    <t>2384 x 1303 x 35 mm</t>
  </si>
  <si>
    <t>2278 x 1134 x 30 mm</t>
  </si>
  <si>
    <t>2278 x 1134 x 35 mm</t>
  </si>
  <si>
    <t>33,9 kg</t>
  </si>
  <si>
    <t>Remoção do HONOR 550Wp</t>
  </si>
  <si>
    <t>008912/2022</t>
  </si>
  <si>
    <t>JNMM144-555</t>
  </si>
  <si>
    <t>82 a 88 ocultados</t>
  </si>
  <si>
    <t>Quantidade de MPPTs</t>
  </si>
  <si>
    <t>Corrente de entrada CC (para cada MPPT) [A]</t>
  </si>
  <si>
    <t>Corrente de curto-circuito CC (para cada MPPT) [A]</t>
  </si>
  <si>
    <t>A15 mudado para: "Quantidade de strings máximo (para cada MPPT)"</t>
  </si>
  <si>
    <t>A14 mudado para "Quantidade de MPPTs"</t>
  </si>
  <si>
    <t>A16 mudado para: "Corrente de entrada CC (para cada MPPT) [A]"</t>
  </si>
  <si>
    <t>A17 mudado para: "Corrente de curto-circuito CC (para cada MPPT) [A]"</t>
  </si>
  <si>
    <t>Número máximo de módulos para o inversor (pelo kWp máximo)</t>
  </si>
  <si>
    <t>colunas alargadas para 76px, coluna A com 450px</t>
  </si>
  <si>
    <t>A56 mudado para: "Número máximo de módulos para o inversor (pelo kWp máximo)"</t>
  </si>
  <si>
    <t>CC/CA</t>
  </si>
  <si>
    <t>K61 mudado para: "CC/CA"</t>
  </si>
  <si>
    <t>CC/CA máximo</t>
  </si>
  <si>
    <t>L61 mudado para: "CC/CA máximo"</t>
  </si>
  <si>
    <t>K63 mudado para: "=SE(B86&gt;B85;"RELAÇÃO CC/CA ACIMA DA RECOMENDAÇÃO DO FABRICANTE";"RELAÇÃO CC/CA DENTRO DO PERMITIDO")"</t>
  </si>
  <si>
    <t>preencher as strings SEMPRE em ordem (primeiro string 1, depois 2, depois 3...)</t>
  </si>
  <si>
    <t>B57 mudado para: "preencher as strings SEMPRE em ordem (primeiro string 1, depois 2, depois 3...)"</t>
  </si>
  <si>
    <t>Verificação da quantidade de strings por MPPT</t>
  </si>
  <si>
    <t>A63 mudado para: "Verificação da quantidade de strings por MPPT"</t>
  </si>
  <si>
    <t>Verificação se a quantidade de módulos é igual nas strings</t>
  </si>
  <si>
    <t>A64 mudado para: "Verificação se a quantidade de módulos é igual nas strings"</t>
  </si>
  <si>
    <t>A65 mudado para: "Quantidade total de módulos no MPPT"</t>
  </si>
  <si>
    <t>Quantidade total de módulos no MPPT</t>
  </si>
  <si>
    <t>Tensão Voc da string [V em Tmin]</t>
  </si>
  <si>
    <t>A74 mudado para: "Tensão Voc da string [V em Tmin]"</t>
  </si>
  <si>
    <t>A ALUMIFIX SOLAR RECOMENDA CRITÉRIO NA AVALIAÇÃO DAS CONDIÇÕES DE</t>
  </si>
  <si>
    <t>POR REFERÊNCIA PARA A REALIZAÇÃO DOS CÁLCULOS E CONSEQUENTEMENTE SUPERAR</t>
  </si>
  <si>
    <t>Inserção do segundo alerta em I69~78</t>
  </si>
  <si>
    <t>GERAÇÃO ESTIMADA</t>
  </si>
  <si>
    <t>fonte de dados de irradiação:</t>
  </si>
  <si>
    <t>Inserção de observação em A99 e B99</t>
  </si>
  <si>
    <t>Horas de sol pleno [h]</t>
  </si>
  <si>
    <t>A100 mudado para: "Horas de sol pleno [h]"</t>
  </si>
  <si>
    <t>580Wp – OSDA (BF)</t>
  </si>
  <si>
    <t>ODA580-36V-MHD</t>
  </si>
  <si>
    <t>32,2 kg</t>
  </si>
  <si>
    <t>011347/2022</t>
  </si>
  <si>
    <t>v6.3.1</t>
  </si>
  <si>
    <t>Potência máxima kWp do inversor de 3kW alterada para 3,9kWp</t>
  </si>
  <si>
    <t>Correntes do 20kW-LV alteradas para 40 e 60A</t>
  </si>
  <si>
    <t>Alerta de módulo bifacial em D20</t>
  </si>
  <si>
    <t>Alerta de número máximo de módulos para o inversor em I63</t>
  </si>
  <si>
    <t>005957/2021</t>
  </si>
  <si>
    <t>v6.3.2</t>
  </si>
  <si>
    <t>Inserção do inversor SUN-6K-G</t>
  </si>
  <si>
    <t>inclusão HANERSUN 555Wp</t>
  </si>
  <si>
    <t>CP18-72H555W</t>
  </si>
  <si>
    <t>28,5 kg</t>
  </si>
  <si>
    <t>011999/2022</t>
  </si>
  <si>
    <t>Reinserção do inversor SUN-18K-G03</t>
  </si>
  <si>
    <t>SUN-35K-G04 corrigido para 2x MPPT; INMETRO atualizado</t>
  </si>
  <si>
    <t>005753/2021</t>
  </si>
  <si>
    <t>575Wp – HONOR</t>
  </si>
  <si>
    <t>HY-M10/144H-575W</t>
  </si>
  <si>
    <t>26,9 kg</t>
  </si>
  <si>
    <t>012863/2022</t>
  </si>
  <si>
    <t>inclusão HONOR 575Wp</t>
  </si>
  <si>
    <t>remoção OSDA 580Wp BF</t>
  </si>
  <si>
    <t>reinserção ASTRO 555Wp</t>
  </si>
  <si>
    <t>Inserção do inversor SUN-3.6K-G</t>
  </si>
  <si>
    <t>Inserção do inversor SUN-9K-G</t>
  </si>
  <si>
    <t>Inserção do inversor SUN-10.5K-G</t>
  </si>
  <si>
    <t>Inserção do inversor SUN-45K-G03</t>
  </si>
  <si>
    <t>Alteração do inversor SUN-40K-G para SUN-40K-G03</t>
  </si>
  <si>
    <t>Alteração do inversor SUN-75K-G03 para 4x MPPT</t>
  </si>
  <si>
    <t>Inserção do inversor SUN-90K-G03</t>
  </si>
  <si>
    <t>Inserção do inversor SUN-110K-G03</t>
  </si>
  <si>
    <t>Inserção do inversor SUN-4K-G</t>
  </si>
  <si>
    <t>Inserção do inversor SUN-7K-G</t>
  </si>
  <si>
    <t>Inserção do inversor SUN-7.5K-G</t>
  </si>
  <si>
    <t>005637/2021</t>
  </si>
  <si>
    <t>005633/2021</t>
  </si>
  <si>
    <t>005634/2021</t>
  </si>
  <si>
    <t>005700/2021</t>
  </si>
  <si>
    <t>v6.4.0</t>
  </si>
  <si>
    <t>Alteração do inversor SUN-60K-G para SUN-60K-G03</t>
  </si>
  <si>
    <t>Alteração do inversor SUN-18K-G03 para SUN-18K-G04</t>
  </si>
  <si>
    <t>Atualização dos parâmetros do inversor SUN-20K-G04</t>
  </si>
  <si>
    <t>550Wp - BYD</t>
  </si>
  <si>
    <t>560Wp – OSDA</t>
  </si>
  <si>
    <t>ODA560-36V-MH</t>
  </si>
  <si>
    <t>BYD550MLK-36</t>
  </si>
  <si>
    <t>29,3 kg</t>
  </si>
  <si>
    <t>007001/2023</t>
  </si>
  <si>
    <t>HN21-66H665W</t>
  </si>
  <si>
    <t>005867/2023</t>
  </si>
  <si>
    <t>34,4 kg</t>
  </si>
  <si>
    <t>Inserão dos módulos BYD 550Wp, OSDA 560Wp, Hanersun 665Wp</t>
  </si>
  <si>
    <t>Remoção do módulo Astro 555Wp</t>
  </si>
  <si>
    <t>bifacial? (1 se SIM, 2 se NÃO)</t>
  </si>
  <si>
    <t>Incluído SIM ou NÃO para "módulo bifacial" na aba "módulos", se sim ativar o alerta de D20, se não, ""</t>
  </si>
  <si>
    <t>A ALUMIFIX SOLAR NÃO SE RESPONSABILIZA POR EVENTUAIS DIVERGÊNCIAS DE CÁLCULO OU INFORMAÇÕES CONTIDAS NA PLANILHA, SENDO OBRIGATÓRIA A REVISÃO DOS RESULTADOS E INFORMAÇÕES POR PROFISSIONAL QUALIFICADO.</t>
  </si>
  <si>
    <t>"INFORMAÇÃO CONTIDA" para "INFORMAÇÕES CONTIDAS" em E~L 15~17</t>
  </si>
  <si>
    <t>003461/2022</t>
  </si>
  <si>
    <t>Adicionado {=SEERRO("";} na fórmula D20 para ocultar o ND quando não há nada selecionado</t>
  </si>
  <si>
    <t>Adicionado SUN-75K-G03 com 6 MPPT</t>
  </si>
  <si>
    <t>SUN-75K-G03 renomeado para "SUN-75K-G03 (4 MPPT)"</t>
  </si>
  <si>
    <t>v6.4.1</t>
  </si>
  <si>
    <t>A15 mudado para: "Quantidade de conexões (entradas) em cada MPPT"</t>
  </si>
  <si>
    <t>Quantidade de conexões (entradas) em cada MPPT</t>
  </si>
  <si>
    <t>1E/1S(1 MPPT)-1000V</t>
  </si>
  <si>
    <t>2E/2S(2 MPPT)-1000V</t>
  </si>
  <si>
    <t>4E/4S(2 MPPT)-1000V</t>
  </si>
  <si>
    <t>6E/6S(2 MPPT)-1000V</t>
  </si>
  <si>
    <t>9E/9S(3 MPPT)-1000V</t>
  </si>
  <si>
    <t>12E/12S(4 MPPT)-1000V</t>
  </si>
  <si>
    <t>12E/12S(4 MPPT)-1000V*</t>
  </si>
  <si>
    <t>18E/18S(6 MPPT)-1000V*</t>
  </si>
  <si>
    <t>6E/6S(3 MPPT)-1000V*</t>
  </si>
  <si>
    <t>8E/8S(4 MPPT)-1000V*</t>
  </si>
  <si>
    <t>v6.4.2</t>
  </si>
  <si>
    <t>corrigido bug em que não puxava toda a lista de módulos</t>
  </si>
  <si>
    <t>v6.4.3</t>
  </si>
  <si>
    <t>adicionado módulo RENESOLA 555Wp</t>
  </si>
  <si>
    <t>adicionado módulo HANERSUN 580Wp (BF)</t>
  </si>
  <si>
    <t>adicionado módulo ---- (BF)</t>
  </si>
  <si>
    <t>adicionado inversor SUN-45K-G-LV</t>
  </si>
  <si>
    <t>tensão de eficiência máxima (A e B 13) ocultados</t>
  </si>
  <si>
    <t>retirados: 560 osda; 575 osda; 575 honor; 665 osda</t>
  </si>
  <si>
    <t>HN18N-72HT</t>
  </si>
  <si>
    <t>32,5 kg</t>
  </si>
  <si>
    <t>012655/2022</t>
  </si>
  <si>
    <t>RS6-555M-E3</t>
  </si>
  <si>
    <t>DM580M10T-B72HSW/HBW</t>
  </si>
  <si>
    <t>32 kg</t>
  </si>
  <si>
    <t>em processo</t>
  </si>
  <si>
    <t>555Wp - RENESOLA</t>
  </si>
  <si>
    <t>555Wp - HANERSUN</t>
  </si>
  <si>
    <t>580Wp - DGMEC (BF)</t>
  </si>
  <si>
    <t>580Wp - HANERSUN (BF)</t>
  </si>
  <si>
    <t>665Wp - HANERSUN</t>
  </si>
  <si>
    <t>Esta é uma simples calculadora de geração por kWp. Não são levados em conta clipping ou outros efeitos. Para uma estimativa mais completa deve-se usar softwares especializados.</t>
  </si>
  <si>
    <t>INVERSOR</t>
  </si>
  <si>
    <t>adicionar controle bifacial, chamar de ganho bifacial (+5, 10, 15, 20 e 25% em seletor; se não for BF, travar o seletor em "N/A")</t>
  </si>
  <si>
    <t>DEYE   SUN-3K-G (mono)</t>
  </si>
  <si>
    <t>DEYE   SUN-3.6K-G (mono)</t>
  </si>
  <si>
    <t>DEYE   SUN-4K-G (mono)</t>
  </si>
  <si>
    <t>DEYE   SUN-5K-G (mono)</t>
  </si>
  <si>
    <t>DEYE   SUN-6K-G (mono)</t>
  </si>
  <si>
    <t>DEYE   SUN-7K-G (mono)</t>
  </si>
  <si>
    <t>DEYE   SUN-7.5K-G (mono)</t>
  </si>
  <si>
    <t>DEYE   SUN-8K-G (mono)</t>
  </si>
  <si>
    <t>DEYE   SUN-9K-G (mono)</t>
  </si>
  <si>
    <t>DEYE   SUN-10K-G (mono)</t>
  </si>
  <si>
    <t>DEYE   SUN-10.5K-G (mono)</t>
  </si>
  <si>
    <t>DEYE   SUN-10K-G03</t>
  </si>
  <si>
    <t>DEYE   SUN-12K-G03</t>
  </si>
  <si>
    <t>DEYE   SUN-15K-G03</t>
  </si>
  <si>
    <t>DEYE   SUN-18K-G04</t>
  </si>
  <si>
    <t>DEYE   SUN-20K-G04</t>
  </si>
  <si>
    <t>DEYE   SUN-25K-G04</t>
  </si>
  <si>
    <t>DEYE   SUN-30K-G</t>
  </si>
  <si>
    <t>DEYE   SUN-35K-G04</t>
  </si>
  <si>
    <t>DEYE   SUN-40K-G03</t>
  </si>
  <si>
    <t>DEYE   SUN-45K-G03</t>
  </si>
  <si>
    <t>DEYE   SUN-50K-G03</t>
  </si>
  <si>
    <t>DEYE   SUN-60K-G03</t>
  </si>
  <si>
    <t>DEYE   SUN-75K-G</t>
  </si>
  <si>
    <t>DEYE   SUN-75K-G03 (4 MPPT)</t>
  </si>
  <si>
    <t>DEYE   SUN-75K-G03 (6 MPPT)</t>
  </si>
  <si>
    <t>DEYE   SUN-75K-G05</t>
  </si>
  <si>
    <t>DEYE   SUN-90K-G03</t>
  </si>
  <si>
    <t>DEYE   SUN-100K-G03</t>
  </si>
  <si>
    <t>DEYE   SUN-110K-G03</t>
  </si>
  <si>
    <t>DEYE   SUN-10K-G03-LV</t>
  </si>
  <si>
    <t>DEYE   SUN-12K-G02-LV</t>
  </si>
  <si>
    <t>DEYE   SUN-15K-G02-LV</t>
  </si>
  <si>
    <t>DEYE   SUN-20K-G02-LV</t>
  </si>
  <si>
    <t>DEYE   SUN-25K-G02-LV</t>
  </si>
  <si>
    <t>DEYE   SUN-30K-G02-LV</t>
  </si>
  <si>
    <t>DEYE   SUN-35K-G02-LV</t>
  </si>
  <si>
    <t>DEYE   SUN-40K-G-LV</t>
  </si>
  <si>
    <t>DEYE   SUN-45K-G-LV</t>
  </si>
  <si>
    <t>DEYE   SUN-50K-G-LV</t>
  </si>
  <si>
    <t>DEYE   SUN-3.6K-SG03LP1-EU</t>
  </si>
  <si>
    <t>DEYE   SUN-5K-SG01LP1-US</t>
  </si>
  <si>
    <t>DEYE   SUN-8K-SG01LP1-US</t>
  </si>
  <si>
    <t xml:space="preserve">strings/mppt7 = </t>
  </si>
  <si>
    <t xml:space="preserve">strings/mppt8 = </t>
  </si>
  <si>
    <t xml:space="preserve">strings/mppt9 = </t>
  </si>
  <si>
    <t xml:space="preserve">strings/mppt10 = </t>
  </si>
  <si>
    <t>corrente/mppt7 =</t>
  </si>
  <si>
    <t>corrente/mppt8 =</t>
  </si>
  <si>
    <t>corrente/mppt9 =</t>
  </si>
  <si>
    <t>corrente/mppt10 =</t>
  </si>
  <si>
    <t>Número de strings MPPT7</t>
  </si>
  <si>
    <t>Corrente MPPT7</t>
  </si>
  <si>
    <t>Número de strings MPPT8</t>
  </si>
  <si>
    <t>Corrente MPPT8</t>
  </si>
  <si>
    <t>Número de strings MPPT9</t>
  </si>
  <si>
    <t>Corrente MPPT9</t>
  </si>
  <si>
    <t>Número de strings MPPT10</t>
  </si>
  <si>
    <t>Corrente MPPT10</t>
  </si>
  <si>
    <t>Corrente de curto MPPT8</t>
  </si>
  <si>
    <t>Corrente de curto MPPT7</t>
  </si>
  <si>
    <t>Corrente de curto MPPT9</t>
  </si>
  <si>
    <t>Corrente de curto MPPT10</t>
  </si>
  <si>
    <t>Número de strings MPPT11</t>
  </si>
  <si>
    <t>Corrente MPPT11</t>
  </si>
  <si>
    <t>Número de strings MPPT12</t>
  </si>
  <si>
    <t>Corrente MPPT12</t>
  </si>
  <si>
    <t>Corrente de curto MPPT11</t>
  </si>
  <si>
    <t>Corrente de curto MPPT12</t>
  </si>
  <si>
    <t>DEYE   SUN-5K-SG04LP1-EU</t>
  </si>
  <si>
    <t>DEYE   SUN-8K-SG05LP1-EU</t>
  </si>
  <si>
    <t>DEYE   SUN-12K-SG02LP1-EU-AM3</t>
  </si>
  <si>
    <t>6E/6S(3 MPPT)-1000V</t>
  </si>
  <si>
    <t>—</t>
  </si>
  <si>
    <t>DEYE   SUN-12K-SG04LP3-EU</t>
  </si>
  <si>
    <t>DEYE   SUN-35K-SG01HP3-EU-BM3</t>
  </si>
  <si>
    <t>DEYE   SUN-50K-SG01HP3-EU-BM4</t>
  </si>
  <si>
    <t>NANSEN   ASN-15TL</t>
  </si>
  <si>
    <t>NANSEN   ASN-17TL</t>
  </si>
  <si>
    <t>NANSEN   ASN-20TL</t>
  </si>
  <si>
    <t>NANSEN   ASN-23TL</t>
  </si>
  <si>
    <t>NANSEN   ASN-25TL</t>
  </si>
  <si>
    <t>NANSEN   ASN-75TL</t>
  </si>
  <si>
    <t>NANSEN   ASN-100TL</t>
  </si>
  <si>
    <t>NANSEN   ASN-110TL</t>
  </si>
  <si>
    <t>12E/12S(6 MPPT)-1000V</t>
  </si>
  <si>
    <t>20E/20S(10 MPPT)-1000V</t>
  </si>
  <si>
    <t>000723/2024</t>
  </si>
  <si>
    <t>009626/2023</t>
  </si>
  <si>
    <t>8E/8S(4 MPPT)-1000V</t>
  </si>
  <si>
    <t>000680/2024</t>
  </si>
  <si>
    <t>000687/2024</t>
  </si>
  <si>
    <t>000694/2024</t>
  </si>
  <si>
    <t>008506/2023</t>
  </si>
  <si>
    <t>008508/2023</t>
  </si>
  <si>
    <t>000720/2024</t>
  </si>
  <si>
    <t>012160/2023</t>
  </si>
  <si>
    <t>000759/2024</t>
  </si>
  <si>
    <t>008507/2023</t>
  </si>
  <si>
    <t>000803/2024</t>
  </si>
  <si>
    <t>NANSEN   ASN-10TL-LV</t>
  </si>
  <si>
    <t>NANSEN   ASN-12TL-LV</t>
  </si>
  <si>
    <t>NANSEN   ASN-15TL-LV</t>
  </si>
  <si>
    <t>012151/2023</t>
  </si>
  <si>
    <t>012154/2023</t>
  </si>
  <si>
    <t>012167/2023</t>
  </si>
  <si>
    <t>NANSEN   ASN-40TL-LV</t>
  </si>
  <si>
    <t>NANSEN   ASN-45TL-LV</t>
  </si>
  <si>
    <t>NANSEN   ASN-50TL-LV</t>
  </si>
  <si>
    <t>10E/10S(5 MPPT)-1000V</t>
  </si>
  <si>
    <t>000798/2024</t>
  </si>
  <si>
    <t>012169/2023</t>
  </si>
  <si>
    <t>NANSEN   ASN-60TL-LV</t>
  </si>
  <si>
    <t>NANSEN   ASN-70TL-LV</t>
  </si>
  <si>
    <t>NANSEN   ASN-75TL-LV</t>
  </si>
  <si>
    <t>16E/16S(8 MPPT)-1000V</t>
  </si>
  <si>
    <t>012172/2023</t>
  </si>
  <si>
    <t>000800/2024</t>
  </si>
  <si>
    <t xml:space="preserve">strings/mppt11 = </t>
  </si>
  <si>
    <t xml:space="preserve">strings/mppt12 = </t>
  </si>
  <si>
    <t>corrente/mppt11 =</t>
  </si>
  <si>
    <t>corrente/mppt12 =</t>
  </si>
  <si>
    <t>Tensão nominal [V]</t>
  </si>
  <si>
    <t>004392/2024</t>
  </si>
  <si>
    <t>Trifásico 380V (banco de baterias HV)</t>
  </si>
  <si>
    <t>Trifásico 380V (banco de baterias LV)</t>
  </si>
  <si>
    <t>Bifásico 127/220V (banco de baterias LV)</t>
  </si>
  <si>
    <t>Monofásico 220V (banco de baterias LV)</t>
  </si>
  <si>
    <t>fórmula OK!</t>
  </si>
  <si>
    <t>correntecurto/mppt3 =</t>
  </si>
  <si>
    <t>correntecurto/mppt4 =</t>
  </si>
  <si>
    <t>correntecurto/mppt5 =</t>
  </si>
  <si>
    <t>correntecurto/mppt6 =</t>
  </si>
  <si>
    <t>correntecurto/mppt7 =</t>
  </si>
  <si>
    <t>correntecurto/mppt8 =</t>
  </si>
  <si>
    <t>correntecurto/mppt9 =</t>
  </si>
  <si>
    <t>correntecurto/mppt10 =</t>
  </si>
  <si>
    <t>correntecurto/mppt11 =</t>
  </si>
  <si>
    <t>correntecurto/mppt12 =</t>
  </si>
  <si>
    <t>A corrente máxima do conector dos inversores é de 25A. Caso a corrente de saída da string box seja superior</t>
  </si>
  <si>
    <t>a 25A, fazer a divisão da saída da string box em mais vias de cabo e ingressar em mais entradas do inversor.</t>
  </si>
  <si>
    <t>adicionados inversores NANSEN</t>
  </si>
  <si>
    <t>adicionados inversores Deye HÍBRIDOS</t>
  </si>
  <si>
    <t>v7.0.0</t>
  </si>
  <si>
    <t>exclusão da linha de "tensão nominal" do inversor (antes estava oculta)</t>
  </si>
  <si>
    <t>remodelamento dos tamanhos das células mescladas (aviso de ATENÇÃO, e seletor de inversor)</t>
  </si>
  <si>
    <t>adicionados +6 MPPTs para um total de inversores com 12 (dimensões aumentadas e fórmulas ajustadas)</t>
  </si>
  <si>
    <t>linha 89 ("String Box necessária para inversor nesta configuração") ocultada</t>
  </si>
  <si>
    <t>585Wp - ASTRONERGY</t>
  </si>
  <si>
    <t>585Wp - DMEGC</t>
  </si>
  <si>
    <t>585Wp - DMEGC (BF)</t>
  </si>
  <si>
    <t>660Wp - HANERSUN (BF)</t>
  </si>
  <si>
    <t>32,1 kg</t>
  </si>
  <si>
    <t>DM585M10T-72HSW-V</t>
  </si>
  <si>
    <t>DM585M10T-B72HSW</t>
  </si>
  <si>
    <t>000320/2024</t>
  </si>
  <si>
    <t>001366/2024</t>
  </si>
  <si>
    <t>parte de baixo não está funcional</t>
  </si>
  <si>
    <t>28,7 kg</t>
  </si>
  <si>
    <t>NANSEN   ASN-3.6SL-PLUS (mono)</t>
  </si>
  <si>
    <t>NANSEN   ASN-5SL-PLUS (mono)</t>
  </si>
  <si>
    <t>NANSEN   ASN-6SL-PLUS (mono)</t>
  </si>
  <si>
    <t>NANSEN   ASN-7SL (mono)</t>
  </si>
  <si>
    <t>NANSEN   ASN-8SL (mono)</t>
  </si>
  <si>
    <t>NANSEN   ASN-10SL (mono)</t>
  </si>
  <si>
    <t>CHSM72N(DG)/F-HC-585</t>
  </si>
  <si>
    <t>008065/2023</t>
  </si>
  <si>
    <t>38,5 kg</t>
  </si>
  <si>
    <t>adicionados novos módulos, removidos módulos antigos</t>
  </si>
  <si>
    <t>(obs.: se o módulo não for bifacial, esta seleção não tem efeito)</t>
  </si>
  <si>
    <t>*</t>
  </si>
  <si>
    <t>Incremento bifacial</t>
  </si>
  <si>
    <r>
      <t>OS MÓDULOS DE UM MESMO</t>
    </r>
    <r>
      <rPr>
        <b/>
        <sz val="11"/>
        <color theme="1"/>
        <rFont val="Calibri"/>
        <family val="2"/>
        <scheme val="minor"/>
      </rPr>
      <t xml:space="preserve"> MPPT</t>
    </r>
    <r>
      <rPr>
        <sz val="11"/>
        <color theme="1"/>
        <rFont val="Calibri"/>
        <family val="2"/>
        <scheme val="minor"/>
      </rPr>
      <t xml:space="preserve"> DEVEM OBRIGATORIAMENTE SER</t>
    </r>
  </si>
  <si>
    <t>DE MÓDULOS BIFACIAIS, QUE AUMENTAM A CORRENTE DAS STRINGS. REITERA-SE QUE A AVALIAÇÃO</t>
  </si>
  <si>
    <t>E VALIDAÇÃO DOS RESULTADOS DEVE SER REALIZADA POR PROFISSIONAL QUALIFICADO.</t>
  </si>
  <si>
    <r>
      <t xml:space="preserve">PARA </t>
    </r>
    <r>
      <rPr>
        <b/>
        <sz val="11"/>
        <color theme="1"/>
        <rFont val="Calibri"/>
        <family val="2"/>
        <scheme val="minor"/>
      </rPr>
      <t>TODOS</t>
    </r>
    <r>
      <rPr>
        <sz val="11"/>
        <color theme="1"/>
        <rFont val="Calibri"/>
        <family val="2"/>
        <scheme val="minor"/>
      </rPr>
      <t xml:space="preserve"> OS CÁLCULOS TOMOU-SE POR BASE AS CONDIÇÕES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>.</t>
    </r>
  </si>
  <si>
    <r>
      <t xml:space="preserve">IRRADIAÇÃO DO LOCAL DA INSTALAÇÃO, POIS EM CERTOS MOMENTOS </t>
    </r>
    <r>
      <rPr>
        <b/>
        <sz val="11"/>
        <color theme="1"/>
        <rFont val="Calibri"/>
        <family val="2"/>
        <scheme val="minor"/>
      </rPr>
      <t>PODE SER</t>
    </r>
  </si>
  <si>
    <r>
      <rPr>
        <b/>
        <sz val="11"/>
        <color theme="1"/>
        <rFont val="Calibri"/>
        <family val="2"/>
        <scheme val="minor"/>
      </rPr>
      <t>SUPERIOR ÀS CONDIÇÕES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DE FORMA A SUPERAR OS VALORES TOMADOS</t>
    </r>
  </si>
  <si>
    <r>
      <rPr>
        <b/>
        <sz val="11"/>
        <color theme="1"/>
        <rFont val="Calibri"/>
        <family val="2"/>
        <scheme val="minor"/>
      </rPr>
      <t>OS LIMITES DE SUPORTABILIDADE DOS EQUIPAMENTOS</t>
    </r>
    <r>
      <rPr>
        <sz val="11"/>
        <color theme="1"/>
        <rFont val="Calibri"/>
        <family val="2"/>
        <scheme val="minor"/>
      </rPr>
      <t>. OBSERVAR TAMBÉM OS INCREMENTOS</t>
    </r>
  </si>
  <si>
    <t>adicionado "incremento bifacial" e fórmulas referentes</t>
  </si>
  <si>
    <t>correção da linha 76 (não puxava os dados para os MPPTs 6 a 12)</t>
  </si>
  <si>
    <t>correção da célula O61 (não somava todos os MPPTs)</t>
  </si>
  <si>
    <t>v7.0.1</t>
  </si>
  <si>
    <t>v7.0.2</t>
  </si>
  <si>
    <t>correção de um bug em que não aparecia a observação 2 (linha estava oculta)</t>
  </si>
  <si>
    <t>v7.1.0</t>
  </si>
  <si>
    <t>inserção dos inversores da Huawei</t>
  </si>
  <si>
    <t>Relação CC/CA máxima pelo manual</t>
  </si>
  <si>
    <t>inserção da logo e reposicionamento da versão na página principal</t>
  </si>
  <si>
    <t>HUAWEI   SUN2000-5KTL-L1</t>
  </si>
  <si>
    <t>HUAWEI   SUN2000-6KTL-L1</t>
  </si>
  <si>
    <t>HUAWEI   SUN2000-8KTL-LC0</t>
  </si>
  <si>
    <t>HUAWEI   SUN2000-10KTL-LC0</t>
  </si>
  <si>
    <t>HUAWEI   SUN2000-15KTL-MB0</t>
  </si>
  <si>
    <t>HUAWEI   SUN2000-25KTL-MB0</t>
  </si>
  <si>
    <t>HUAWEI   SUN2000-20KTL-M3</t>
  </si>
  <si>
    <t>HUAWEI   SUN2000-30KTL-M3</t>
  </si>
  <si>
    <t>HUAWEI   SUN2000-36KTL-M3</t>
  </si>
  <si>
    <t>HUAWEI   SUN2000-50KTL-M3</t>
  </si>
  <si>
    <t>HUAWEI   SUN2000-75KTL-M1</t>
  </si>
  <si>
    <t>HUAWEI   SUN2000-100KTL-M2</t>
  </si>
  <si>
    <t>HUAWEI   SUN2000-250KTL-H1</t>
  </si>
  <si>
    <t>004091/2022</t>
  </si>
  <si>
    <t>004397/2024</t>
  </si>
  <si>
    <t>Não possui (usar certificação)</t>
  </si>
  <si>
    <t>Trifásico 800V</t>
  </si>
  <si>
    <r>
      <t xml:space="preserve">ESTA É UMA PLANILHA DISPONIBILIZADA PELA </t>
    </r>
    <r>
      <rPr>
        <b/>
        <sz val="10.5"/>
        <color rgb="FFFFFF00"/>
        <rFont val="Calibri"/>
        <family val="2"/>
        <scheme val="minor"/>
      </rPr>
      <t>ALUMIFIX SOLAR</t>
    </r>
    <r>
      <rPr>
        <sz val="10.5"/>
        <color rgb="FFFFFF00"/>
        <rFont val="Calibri"/>
        <family val="2"/>
        <scheme val="minor"/>
      </rPr>
      <t xml:space="preserve"> PARA AUXILIAR SEUS INTEGRADORES A DIMENSIONAR INVERSORES DENTRO DE SUAS LIMITAÇÕES TÉCNICAS. </t>
    </r>
    <r>
      <rPr>
        <b/>
        <sz val="10.5"/>
        <color rgb="FFFFFF00"/>
        <rFont val="Calibri"/>
        <family val="2"/>
        <scheme val="minor"/>
      </rPr>
      <t>ESTA PLANILHA NÃO SUBSTITUI A ANÁLISE TÉCNICA DE PROFISSIONAL QUALIFICADO</t>
    </r>
    <r>
      <rPr>
        <sz val="10.5"/>
        <color rgb="FFFFFF00"/>
        <rFont val="Calibri"/>
        <family val="2"/>
        <scheme val="minor"/>
      </rPr>
      <t>, SENDO UMA MERA FERRAMENTA DE AUXÍLIO A TAIS PROFISSIONAIS.</t>
    </r>
  </si>
  <si>
    <r>
      <t xml:space="preserve">Consulte </t>
    </r>
    <r>
      <rPr>
        <b/>
        <sz val="11"/>
        <rFont val="Calibri"/>
        <family val="2"/>
        <scheme val="minor"/>
      </rPr>
      <t>sempre</t>
    </r>
    <r>
      <rPr>
        <sz val="11"/>
        <rFont val="Calibri"/>
        <family val="2"/>
        <scheme val="minor"/>
      </rPr>
      <t xml:space="preserve"> pela versão mais atual em: www.alumifixsolar.com.br/suporte</t>
    </r>
  </si>
  <si>
    <t>Para mais informações sobre o módulo, consulte o datasheet</t>
  </si>
  <si>
    <t>Não há limite de relação CC/CA máximo</t>
  </si>
  <si>
    <t>correção das fórmulas que puxam B8 para cálculos (B8, R61, linhas 65 e 66, B84)</t>
  </si>
  <si>
    <t>DISPENSA STRING BOX</t>
  </si>
  <si>
    <t>NECESSÁRIO FUSÍVEL</t>
  </si>
  <si>
    <t>colocada fórmula SE em E90 para aparecer o texto</t>
  </si>
  <si>
    <t>Se não for instalada string box, proceder com a inserção das strings no inversor normalmente (cada string na sua entrada).</t>
  </si>
  <si>
    <t>adicionada linha extra 96, com o texto "Se não for instalada string box, proceder com a inserção das strings no inversor normalmente (cada string na sua entrada)."</t>
  </si>
  <si>
    <t>v7.1.1</t>
  </si>
  <si>
    <t>adicionada informação de corrente de curto do inversor Huawei 250kW (célula O43)</t>
  </si>
  <si>
    <t>CN21-66HT660W</t>
  </si>
  <si>
    <t>v7.1.2</t>
  </si>
  <si>
    <t>corrigidos dados de corrente do módulo 660Wp Hanersun Bifacial</t>
  </si>
  <si>
    <t>v7.1.2 (USO EXTERNO)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</si>
</sst>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sz val="10.5"/>
      <color rgb="FFFFFF00"/>
      <name val="Calibri"/>
      <family val="2"/>
      <scheme val="minor"/>
    </font>
    <font>
      <b/>
      <sz val="10.5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CF7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 indent="3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left" indent="1"/>
    </xf>
    <xf numFmtId="0" fontId="5" fillId="0" borderId="1" xfId="0" applyFont="1" applyBorder="1" applyAlignment="1">
      <alignment horizontal="right" indent="1"/>
    </xf>
    <xf numFmtId="0" fontId="1" fillId="0" borderId="0" xfId="0" applyFont="1"/>
    <xf numFmtId="0" fontId="3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left" inden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 indent="1"/>
    </xf>
    <xf numFmtId="0" fontId="0" fillId="0" borderId="4" xfId="0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0" fillId="0" borderId="2" xfId="0" applyBorder="1" applyAlignment="1">
      <alignment horizontal="right" indent="1"/>
    </xf>
    <xf numFmtId="2" fontId="0" fillId="0" borderId="4" xfId="0" applyNumberFormat="1" applyBorder="1" applyAlignment="1">
      <alignment horizontal="left" indent="1"/>
    </xf>
    <xf numFmtId="0" fontId="3" fillId="0" borderId="4" xfId="0" applyFont="1" applyBorder="1"/>
    <xf numFmtId="1" fontId="1" fillId="0" borderId="0" xfId="0" applyNumberFormat="1" applyFont="1" applyAlignment="1">
      <alignment horizontal="left" indent="1"/>
    </xf>
    <xf numFmtId="1" fontId="3" fillId="0" borderId="0" xfId="0" applyNumberFormat="1" applyFont="1" applyAlignment="1">
      <alignment horizontal="left" indent="1"/>
    </xf>
    <xf numFmtId="2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9" fontId="0" fillId="0" borderId="0" xfId="0" applyNumberFormat="1" applyAlignment="1">
      <alignment horizontal="left" indent="1"/>
    </xf>
    <xf numFmtId="0" fontId="3" fillId="0" borderId="1" xfId="0" applyFont="1" applyBorder="1" applyAlignment="1">
      <alignment horizontal="right" indent="1"/>
    </xf>
    <xf numFmtId="0" fontId="3" fillId="0" borderId="0" xfId="0" applyFont="1" applyAlignment="1">
      <alignment horizontal="right"/>
    </xf>
    <xf numFmtId="0" fontId="0" fillId="3" borderId="0" xfId="0" applyFill="1"/>
    <xf numFmtId="0" fontId="0" fillId="3" borderId="4" xfId="0" applyFill="1" applyBorder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right" indent="1"/>
    </xf>
    <xf numFmtId="0" fontId="2" fillId="4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7" borderId="0" xfId="0" applyFill="1"/>
    <xf numFmtId="0" fontId="0" fillId="3" borderId="1" xfId="0" applyFill="1" applyBorder="1" applyAlignment="1">
      <alignment horizontal="right" indent="1"/>
    </xf>
    <xf numFmtId="0" fontId="0" fillId="3" borderId="0" xfId="0" applyFill="1" applyAlignment="1">
      <alignment horizontal="right"/>
    </xf>
    <xf numFmtId="2" fontId="0" fillId="3" borderId="0" xfId="0" applyNumberFormat="1" applyFill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0" fillId="8" borderId="0" xfId="0" applyFill="1"/>
    <xf numFmtId="0" fontId="0" fillId="8" borderId="8" xfId="0" applyFill="1" applyBorder="1" applyAlignment="1">
      <alignment horizontal="center"/>
    </xf>
    <xf numFmtId="14" fontId="0" fillId="8" borderId="8" xfId="0" applyNumberFormat="1" applyFill="1" applyBorder="1" applyAlignment="1">
      <alignment horizontal="center"/>
    </xf>
    <xf numFmtId="0" fontId="9" fillId="9" borderId="0" xfId="0" applyFont="1" applyFill="1"/>
    <xf numFmtId="0" fontId="0" fillId="8" borderId="0" xfId="0" applyFill="1" applyAlignment="1">
      <alignment horizontal="left" indent="1"/>
    </xf>
    <xf numFmtId="0" fontId="0" fillId="8" borderId="10" xfId="0" applyFill="1" applyBorder="1" applyAlignment="1">
      <alignment horizontal="center"/>
    </xf>
    <xf numFmtId="0" fontId="0" fillId="8" borderId="4" xfId="0" applyFill="1" applyBorder="1" applyAlignment="1">
      <alignment horizontal="left" indent="1"/>
    </xf>
    <xf numFmtId="0" fontId="0" fillId="8" borderId="4" xfId="0" applyFill="1" applyBorder="1"/>
    <xf numFmtId="0" fontId="0" fillId="8" borderId="13" xfId="0" applyFill="1" applyBorder="1" applyAlignment="1">
      <alignment horizontal="center"/>
    </xf>
    <xf numFmtId="0" fontId="0" fillId="8" borderId="12" xfId="0" applyFill="1" applyBorder="1" applyAlignment="1">
      <alignment horizontal="left" indent="1"/>
    </xf>
    <xf numFmtId="0" fontId="0" fillId="8" borderId="12" xfId="0" applyFill="1" applyBorder="1"/>
    <xf numFmtId="0" fontId="0" fillId="8" borderId="16" xfId="0" applyFill="1" applyBorder="1" applyAlignment="1">
      <alignment horizontal="center"/>
    </xf>
    <xf numFmtId="0" fontId="0" fillId="8" borderId="15" xfId="0" applyFill="1" applyBorder="1" applyAlignment="1">
      <alignment horizontal="left" indent="1"/>
    </xf>
    <xf numFmtId="0" fontId="0" fillId="8" borderId="15" xfId="0" applyFill="1" applyBorder="1"/>
    <xf numFmtId="14" fontId="10" fillId="0" borderId="1" xfId="0" applyNumberFormat="1" applyFont="1" applyBorder="1" applyAlignment="1">
      <alignment horizontal="left" vertical="center" indent="3"/>
    </xf>
    <xf numFmtId="0" fontId="1" fillId="0" borderId="1" xfId="0" applyFont="1" applyBorder="1" applyAlignment="1">
      <alignment horizontal="right" indent="1"/>
    </xf>
    <xf numFmtId="0" fontId="0" fillId="2" borderId="0" xfId="0" applyFill="1" applyAlignment="1" applyProtection="1">
      <alignment horizontal="left"/>
      <protection locked="0"/>
    </xf>
    <xf numFmtId="2" fontId="1" fillId="0" borderId="0" xfId="0" applyNumberFormat="1" applyFont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1" fillId="9" borderId="7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14" fontId="0" fillId="8" borderId="13" xfId="0" applyNumberFormat="1" applyFill="1" applyBorder="1" applyAlignment="1">
      <alignment horizont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2" fontId="12" fillId="0" borderId="0" xfId="0" applyNumberFormat="1" applyFont="1" applyAlignment="1">
      <alignment horizontal="left"/>
    </xf>
    <xf numFmtId="0" fontId="3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left" indent="1"/>
    </xf>
    <xf numFmtId="14" fontId="0" fillId="8" borderId="16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right" indent="1"/>
    </xf>
    <xf numFmtId="0" fontId="1" fillId="8" borderId="0" xfId="0" applyFont="1" applyFill="1" applyAlignment="1">
      <alignment horizontal="left" indent="1"/>
    </xf>
    <xf numFmtId="0" fontId="0" fillId="0" borderId="0" xfId="0" applyAlignment="1" applyProtection="1">
      <alignment horizontal="left" indent="1"/>
      <protection locked="0"/>
    </xf>
    <xf numFmtId="0" fontId="1" fillId="3" borderId="1" xfId="0" applyFont="1" applyFill="1" applyBorder="1" applyAlignment="1">
      <alignment horizontal="right" indent="1"/>
    </xf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/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15" fillId="0" borderId="0" xfId="1" applyProtection="1"/>
    <xf numFmtId="0" fontId="1" fillId="8" borderId="0" xfId="0" applyFont="1" applyFill="1" applyAlignment="1">
      <alignment horizontal="left" vertical="top" indent="1"/>
    </xf>
    <xf numFmtId="0" fontId="16" fillId="8" borderId="0" xfId="0" applyFont="1" applyFill="1" applyAlignment="1">
      <alignment horizontal="left" indent="1"/>
    </xf>
    <xf numFmtId="0" fontId="3" fillId="8" borderId="4" xfId="0" applyFont="1" applyFill="1" applyBorder="1" applyAlignment="1">
      <alignment horizontal="center"/>
    </xf>
    <xf numFmtId="0" fontId="1" fillId="8" borderId="4" xfId="0" applyFont="1" applyFill="1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11" fillId="9" borderId="17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0" fillId="10" borderId="0" xfId="0" applyFill="1"/>
    <xf numFmtId="0" fontId="0" fillId="0" borderId="4" xfId="0" applyBorder="1" applyAlignment="1">
      <alignment horizontal="right" indent="1"/>
    </xf>
    <xf numFmtId="0" fontId="0" fillId="0" borderId="4" xfId="0" applyBorder="1" applyAlignment="1" applyProtection="1">
      <alignment horizontal="left" indent="1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0" fillId="4" borderId="0" xfId="0" applyFill="1" applyAlignment="1">
      <alignment horizontal="right" indent="1"/>
    </xf>
    <xf numFmtId="9" fontId="3" fillId="2" borderId="0" xfId="0" applyNumberFormat="1" applyFont="1" applyFill="1" applyAlignment="1" applyProtection="1">
      <alignment horizontal="right"/>
      <protection locked="0"/>
    </xf>
    <xf numFmtId="0" fontId="18" fillId="0" borderId="0" xfId="0" applyFont="1" applyAlignment="1">
      <alignment vertical="center"/>
    </xf>
    <xf numFmtId="2" fontId="3" fillId="3" borderId="0" xfId="0" applyNumberFormat="1" applyFont="1" applyFill="1" applyAlignment="1">
      <alignment horizontal="left" indent="1"/>
    </xf>
    <xf numFmtId="2" fontId="3" fillId="3" borderId="0" xfId="0" applyNumberFormat="1" applyFont="1" applyFill="1" applyAlignment="1">
      <alignment horizontal="center"/>
    </xf>
    <xf numFmtId="9" fontId="1" fillId="3" borderId="0" xfId="0" applyNumberFormat="1" applyFont="1" applyFill="1" applyAlignment="1">
      <alignment horizontal="left" indent="1"/>
    </xf>
    <xf numFmtId="0" fontId="0" fillId="11" borderId="0" xfId="0" applyFill="1"/>
    <xf numFmtId="0" fontId="10" fillId="8" borderId="1" xfId="0" applyFont="1" applyFill="1" applyBorder="1" applyAlignment="1">
      <alignment horizontal="right" vertical="center" indent="2"/>
    </xf>
    <xf numFmtId="14" fontId="10" fillId="0" borderId="1" xfId="0" applyNumberFormat="1" applyFont="1" applyBorder="1" applyAlignment="1">
      <alignment horizontal="right" vertical="center" indent="2"/>
    </xf>
    <xf numFmtId="9" fontId="4" fillId="0" borderId="0" xfId="0" applyNumberFormat="1" applyFont="1" applyAlignment="1">
      <alignment horizontal="left" indent="1"/>
    </xf>
    <xf numFmtId="0" fontId="0" fillId="11" borderId="0" xfId="0" applyFill="1" applyAlignment="1">
      <alignment horizontal="left"/>
    </xf>
    <xf numFmtId="0" fontId="9" fillId="12" borderId="0" xfId="0" applyFont="1" applyFill="1" applyAlignment="1">
      <alignment vertical="center" wrapText="1"/>
    </xf>
    <xf numFmtId="0" fontId="22" fillId="1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9" fillId="12" borderId="0" xfId="0" applyFont="1" applyFill="1" applyAlignment="1">
      <alignment horizontal="left" vertical="center" wrapText="1"/>
    </xf>
  </cellXfs>
  <cellStyles count="2">
    <cellStyle name="Hiperlink" xfId="1" builtinId="8"/>
    <cellStyle name="Normal" xfId="0" builtinId="0"/>
  </cellStyles>
  <dxfs count="31"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5700"/>
      </font>
      <fill>
        <patternFill>
          <bgColor rgb="FFFFEB9C"/>
        </patternFill>
      </fill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2D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E400"/>
      <color rgb="FF006CF7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1922799</xdr:colOff>
      <xdr:row>4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56FD4E1-0B21-711C-1DBD-AA1A82705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23925"/>
          <a:ext cx="1865649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esesb.cepel.br/index.php?section=sundata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D495-1ED6-46A6-9F51-123D04D17C72}">
  <sheetPr codeName="Planilha1"/>
  <dimension ref="A1:AS130"/>
  <sheetViews>
    <sheetView tabSelected="1" zoomScaleNormal="100" workbookViewId="0">
      <selection activeCell="B4" sqref="B4:E4"/>
    </sheetView>
  </sheetViews>
  <sheetFormatPr defaultColWidth="8.5703125" defaultRowHeight="17.25" customHeight="1" x14ac:dyDescent="0.25"/>
  <cols>
    <col min="1" max="1" width="60" style="3" customWidth="1"/>
    <col min="2" max="2" width="8.5703125" style="14"/>
    <col min="27" max="27" width="0" style="43" hidden="1" customWidth="1"/>
    <col min="28" max="39" width="0" hidden="1" customWidth="1"/>
    <col min="40" max="40" width="0" style="43" hidden="1" customWidth="1"/>
  </cols>
  <sheetData>
    <row r="1" spans="1:45" ht="17.25" customHeight="1" x14ac:dyDescent="0.25">
      <c r="A1" s="141" t="s">
        <v>710</v>
      </c>
      <c r="B1" s="52" t="s">
        <v>293</v>
      </c>
      <c r="H1" s="146" t="s">
        <v>282</v>
      </c>
      <c r="I1" s="146"/>
      <c r="J1" s="146"/>
      <c r="AB1" s="16" t="s">
        <v>73</v>
      </c>
      <c r="AC1" s="17"/>
      <c r="AE1" s="16" t="s">
        <v>74</v>
      </c>
      <c r="AH1" s="16" t="s">
        <v>159</v>
      </c>
    </row>
    <row r="2" spans="1:45" ht="17.25" customHeight="1" x14ac:dyDescent="0.25">
      <c r="A2" s="142">
        <v>45299</v>
      </c>
      <c r="B2" s="52" t="s">
        <v>294</v>
      </c>
      <c r="H2" s="146"/>
      <c r="I2" s="146"/>
      <c r="J2" s="146"/>
      <c r="K2" s="136" t="s">
        <v>696</v>
      </c>
      <c r="M2" s="119"/>
      <c r="N2" s="119"/>
      <c r="O2" s="119"/>
      <c r="AB2" t="s">
        <v>67</v>
      </c>
      <c r="AC2" s="17"/>
      <c r="AD2" s="1" t="e">
        <f>HLOOKUP($B$4,INVERSORES!4:75,10,0)</f>
        <v>#N/A</v>
      </c>
      <c r="AE2" t="s">
        <v>80</v>
      </c>
      <c r="AG2" s="1" t="e">
        <f>HLOOKUP($B$4,INVERSORES!4:75,11,0)</f>
        <v>#N/A</v>
      </c>
      <c r="AH2" t="s">
        <v>80</v>
      </c>
      <c r="AJ2" s="1" t="e">
        <f>HLOOKUP($B$4,INVERSORES!4:75,35,0)</f>
        <v>#N/A</v>
      </c>
      <c r="AK2" s="1"/>
      <c r="AL2" s="1"/>
      <c r="AM2" s="1"/>
    </row>
    <row r="3" spans="1:45" ht="17.25" customHeight="1" x14ac:dyDescent="0.25">
      <c r="A3" s="81"/>
      <c r="B3" s="121"/>
      <c r="H3" s="146"/>
      <c r="I3" s="146"/>
      <c r="J3" s="146"/>
      <c r="K3" s="119"/>
      <c r="L3" s="119"/>
      <c r="M3" s="119"/>
      <c r="N3" s="119"/>
      <c r="O3" s="119"/>
      <c r="AB3" t="s">
        <v>68</v>
      </c>
      <c r="AC3" s="17"/>
      <c r="AD3" s="1" t="e">
        <f>HLOOKUP($B$4,INVERSORES!4:75,12,0)</f>
        <v>#N/A</v>
      </c>
      <c r="AE3" t="s">
        <v>75</v>
      </c>
      <c r="AG3" s="1" t="e">
        <f>HLOOKUP($B$4,INVERSORES!4:75,13,0)</f>
        <v>#N/A</v>
      </c>
      <c r="AH3" t="s">
        <v>75</v>
      </c>
      <c r="AJ3" s="1" t="e">
        <f>HLOOKUP($B$4,INVERSORES!4:75,36,0)</f>
        <v>#N/A</v>
      </c>
      <c r="AK3" s="1"/>
      <c r="AL3" s="1"/>
      <c r="AM3" s="1"/>
    </row>
    <row r="4" spans="1:45" ht="17.25" customHeight="1" x14ac:dyDescent="0.3">
      <c r="A4" s="15" t="s">
        <v>487</v>
      </c>
      <c r="B4" s="147"/>
      <c r="C4" s="148"/>
      <c r="D4" s="148"/>
      <c r="E4" s="148"/>
      <c r="H4" s="146"/>
      <c r="I4" s="146"/>
      <c r="J4" s="146"/>
      <c r="K4" s="145"/>
      <c r="L4" s="145"/>
      <c r="M4" s="145"/>
      <c r="N4" s="145"/>
      <c r="O4" s="145"/>
      <c r="AB4" t="s">
        <v>69</v>
      </c>
      <c r="AC4" s="17"/>
      <c r="AD4" s="1" t="e">
        <f>HLOOKUP($B$4,INVERSORES!4:75,14,0)</f>
        <v>#N/A</v>
      </c>
      <c r="AE4" t="s">
        <v>76</v>
      </c>
      <c r="AG4" s="1" t="e">
        <f>HLOOKUP($B$4,INVERSORES!4:75,15,0)</f>
        <v>#N/A</v>
      </c>
      <c r="AH4" t="s">
        <v>618</v>
      </c>
      <c r="AJ4" s="1" t="e">
        <f>HLOOKUP($B$4,INVERSORES!4:75,37,0)</f>
        <v>#N/A</v>
      </c>
      <c r="AK4" s="1"/>
      <c r="AL4" s="1"/>
      <c r="AM4" s="1"/>
    </row>
    <row r="5" spans="1:45" ht="17.25" customHeight="1" x14ac:dyDescent="0.25">
      <c r="A5" s="82" t="s">
        <v>250</v>
      </c>
      <c r="B5" s="52" t="e">
        <f>HLOOKUP($B$4,INVERSORES!4:75,47,0)</f>
        <v>#N/A</v>
      </c>
      <c r="H5" s="151" t="s">
        <v>695</v>
      </c>
      <c r="I5" s="151"/>
      <c r="J5" s="151"/>
      <c r="K5" s="151"/>
      <c r="L5" s="151"/>
      <c r="M5" s="151"/>
      <c r="N5" s="151"/>
      <c r="O5" s="151"/>
      <c r="AB5" t="s">
        <v>70</v>
      </c>
      <c r="AC5" s="17"/>
      <c r="AD5" s="1" t="e">
        <f>HLOOKUP($B$4,INVERSORES!4:75,16,0)</f>
        <v>#N/A</v>
      </c>
      <c r="AE5" t="s">
        <v>77</v>
      </c>
      <c r="AG5" s="1" t="e">
        <f>HLOOKUP($B$4,INVERSORES!4:75,17,0)</f>
        <v>#N/A</v>
      </c>
      <c r="AH5" t="s">
        <v>619</v>
      </c>
      <c r="AJ5" s="1" t="e">
        <f>HLOOKUP($B$4,INVERSORES!4:75,38,0)</f>
        <v>#N/A</v>
      </c>
      <c r="AK5" s="1"/>
      <c r="AL5" s="1"/>
      <c r="AM5" s="1"/>
    </row>
    <row r="6" spans="1:45" ht="17.25" customHeight="1" x14ac:dyDescent="0.25">
      <c r="A6" s="3" t="s">
        <v>295</v>
      </c>
      <c r="B6" s="14" t="e">
        <f>HLOOKUP($B$4,INVERSORES!4:75,48,0)</f>
        <v>#N/A</v>
      </c>
      <c r="H6" s="151"/>
      <c r="I6" s="151"/>
      <c r="J6" s="151"/>
      <c r="K6" s="151"/>
      <c r="L6" s="151"/>
      <c r="M6" s="151"/>
      <c r="N6" s="151"/>
      <c r="O6" s="151"/>
      <c r="AB6" t="s">
        <v>71</v>
      </c>
      <c r="AD6" s="1" t="e">
        <f>HLOOKUP($B$4,INVERSORES!4:75,18,0)</f>
        <v>#N/A</v>
      </c>
      <c r="AE6" t="s">
        <v>78</v>
      </c>
      <c r="AG6" s="1" t="e">
        <f>HLOOKUP($B$4,INVERSORES!4:75,19,0)</f>
        <v>#N/A</v>
      </c>
      <c r="AH6" t="s">
        <v>620</v>
      </c>
      <c r="AJ6" s="1" t="e">
        <f>HLOOKUP($B$4,INVERSORES!4:75,39,0)</f>
        <v>#N/A</v>
      </c>
      <c r="AK6" s="1"/>
      <c r="AL6" s="1"/>
      <c r="AM6" s="1"/>
    </row>
    <row r="7" spans="1:45" ht="17.25" customHeight="1" x14ac:dyDescent="0.25">
      <c r="A7" s="3" t="s">
        <v>3</v>
      </c>
      <c r="B7" s="14" t="e">
        <f>HLOOKUP($B$4,INVERSORES!4:75,2,0)</f>
        <v>#N/A</v>
      </c>
      <c r="H7" s="151"/>
      <c r="I7" s="151"/>
      <c r="J7" s="151"/>
      <c r="K7" s="151"/>
      <c r="L7" s="151"/>
      <c r="M7" s="151"/>
      <c r="N7" s="151"/>
      <c r="O7" s="151"/>
      <c r="AB7" t="s">
        <v>72</v>
      </c>
      <c r="AD7" s="1" t="e">
        <f>HLOOKUP($B$4,INVERSORES!4:75,20,0)</f>
        <v>#N/A</v>
      </c>
      <c r="AE7" t="s">
        <v>79</v>
      </c>
      <c r="AG7" s="1" t="e">
        <f>HLOOKUP($B$4,INVERSORES!4:75,21,0)</f>
        <v>#N/A</v>
      </c>
      <c r="AH7" t="s">
        <v>621</v>
      </c>
      <c r="AJ7" s="1" t="e">
        <f>HLOOKUP($B$4,INVERSORES!4:75,40,0)</f>
        <v>#N/A</v>
      </c>
      <c r="AK7" s="1"/>
      <c r="AL7" s="1"/>
      <c r="AM7" s="1"/>
    </row>
    <row r="8" spans="1:45" ht="17.25" customHeight="1" x14ac:dyDescent="0.25">
      <c r="A8" s="3" t="s">
        <v>0</v>
      </c>
      <c r="B8" s="14" t="e">
        <f>HLOOKUP($B$4,INVERSORES!4:75,3,0)</f>
        <v>#N/A</v>
      </c>
      <c r="H8" s="151"/>
      <c r="I8" s="151"/>
      <c r="J8" s="151"/>
      <c r="K8" s="151"/>
      <c r="L8" s="151"/>
      <c r="M8" s="151"/>
      <c r="N8" s="151"/>
      <c r="O8" s="151"/>
      <c r="AB8" t="s">
        <v>532</v>
      </c>
      <c r="AD8" s="1" t="e">
        <f>HLOOKUP($B$4,INVERSORES!4:75,22,0)</f>
        <v>#N/A</v>
      </c>
      <c r="AE8" t="s">
        <v>536</v>
      </c>
      <c r="AG8" s="1" t="e">
        <f>HLOOKUP($B$4,INVERSORES!4:75,23,0)</f>
        <v>#N/A</v>
      </c>
      <c r="AH8" t="s">
        <v>622</v>
      </c>
      <c r="AJ8" s="1" t="e">
        <f>HLOOKUP($B$4,INVERSORES!4:75,41,0)</f>
        <v>#N/A</v>
      </c>
      <c r="AK8" s="1"/>
      <c r="AL8" s="1"/>
      <c r="AM8" s="1"/>
    </row>
    <row r="9" spans="1:45" ht="17.25" customHeight="1" x14ac:dyDescent="0.25">
      <c r="A9" s="3" t="s">
        <v>1</v>
      </c>
      <c r="B9" s="14" t="e">
        <f>HLOOKUP($B$4,INVERSORES!4:75,4,0)</f>
        <v>#N/A</v>
      </c>
      <c r="H9" s="151" t="s">
        <v>292</v>
      </c>
      <c r="I9" s="151"/>
      <c r="J9" s="151"/>
      <c r="K9" s="151"/>
      <c r="L9" s="151"/>
      <c r="M9" s="151"/>
      <c r="N9" s="151"/>
      <c r="O9" s="151"/>
      <c r="AB9" t="s">
        <v>533</v>
      </c>
      <c r="AD9" s="1" t="e">
        <f>HLOOKUP($B$4,INVERSORES!4:75,24,0)</f>
        <v>#N/A</v>
      </c>
      <c r="AE9" t="s">
        <v>537</v>
      </c>
      <c r="AG9" s="1" t="e">
        <f>HLOOKUP($B$4,INVERSORES!4:75,25,0)</f>
        <v>#N/A</v>
      </c>
      <c r="AH9" t="s">
        <v>623</v>
      </c>
      <c r="AJ9" s="1" t="e">
        <f>HLOOKUP($B$4,INVERSORES!4:75,42,0)</f>
        <v>#N/A</v>
      </c>
      <c r="AK9" s="1"/>
      <c r="AL9" s="1"/>
      <c r="AM9" s="1"/>
    </row>
    <row r="10" spans="1:45" ht="17.25" customHeight="1" x14ac:dyDescent="0.25">
      <c r="A10" s="3" t="s">
        <v>2</v>
      </c>
      <c r="B10" s="14" t="e">
        <f>HLOOKUP($B$4,INVERSORES!4:75,5,0)</f>
        <v>#N/A</v>
      </c>
      <c r="H10" s="151"/>
      <c r="I10" s="151"/>
      <c r="J10" s="151"/>
      <c r="K10" s="151"/>
      <c r="L10" s="151"/>
      <c r="M10" s="151"/>
      <c r="N10" s="151"/>
      <c r="O10" s="151"/>
      <c r="AB10" t="s">
        <v>534</v>
      </c>
      <c r="AD10" s="1" t="e">
        <f>HLOOKUP($B$4,INVERSORES!4:75,26,0)</f>
        <v>#N/A</v>
      </c>
      <c r="AE10" t="s">
        <v>538</v>
      </c>
      <c r="AG10" s="1" t="e">
        <f>HLOOKUP($B$4,INVERSORES!4:75,27,0)</f>
        <v>#N/A</v>
      </c>
      <c r="AH10" t="s">
        <v>624</v>
      </c>
      <c r="AJ10" s="1" t="e">
        <f>HLOOKUP($B$4,INVERSORES!4:75,43,0)</f>
        <v>#N/A</v>
      </c>
      <c r="AK10" s="1"/>
      <c r="AL10" s="1"/>
      <c r="AM10" s="1"/>
    </row>
    <row r="11" spans="1:45" ht="17.25" customHeight="1" x14ac:dyDescent="0.25">
      <c r="A11" s="3" t="s">
        <v>82</v>
      </c>
      <c r="B11" s="14" t="e">
        <f>HLOOKUP($B$4,INVERSORES!4:75,6,0)</f>
        <v>#N/A</v>
      </c>
      <c r="H11" s="151"/>
      <c r="I11" s="151"/>
      <c r="J11" s="151"/>
      <c r="K11" s="151"/>
      <c r="L11" s="151"/>
      <c r="M11" s="151"/>
      <c r="N11" s="151"/>
      <c r="O11" s="151"/>
      <c r="AB11" t="s">
        <v>535</v>
      </c>
      <c r="AD11" s="1" t="e">
        <f>HLOOKUP($B$4,INVERSORES!4:75,28,0)</f>
        <v>#N/A</v>
      </c>
      <c r="AE11" t="s">
        <v>539</v>
      </c>
      <c r="AG11" s="1" t="e">
        <f>HLOOKUP($B$4,INVERSORES!4:75,29,0)</f>
        <v>#N/A</v>
      </c>
      <c r="AH11" t="s">
        <v>625</v>
      </c>
      <c r="AJ11" s="1" t="e">
        <f>HLOOKUP($B$4,INVERSORES!4:75,44,0)</f>
        <v>#N/A</v>
      </c>
      <c r="AK11" s="1"/>
      <c r="AL11" s="1"/>
      <c r="AM11" s="1"/>
      <c r="AS11" s="120"/>
    </row>
    <row r="12" spans="1:45" ht="17.25" customHeight="1" x14ac:dyDescent="0.25">
      <c r="A12" s="3" t="s">
        <v>83</v>
      </c>
      <c r="B12" s="14" t="e">
        <f>HLOOKUP($B$4,INVERSORES!4:75,7,0)</f>
        <v>#N/A</v>
      </c>
      <c r="C12" s="17"/>
      <c r="H12" s="151" t="s">
        <v>288</v>
      </c>
      <c r="I12" s="151"/>
      <c r="J12" s="151"/>
      <c r="K12" s="151"/>
      <c r="L12" s="151"/>
      <c r="M12" s="151"/>
      <c r="N12" s="151"/>
      <c r="O12" s="151"/>
      <c r="AB12" t="s">
        <v>607</v>
      </c>
      <c r="AD12" s="1" t="e">
        <f>HLOOKUP($B$4,INVERSORES!4:75,30,0)</f>
        <v>#N/A</v>
      </c>
      <c r="AE12" t="s">
        <v>609</v>
      </c>
      <c r="AG12" s="1" t="e">
        <f>HLOOKUP($B$4,INVERSORES!4:75,31,0)</f>
        <v>#N/A</v>
      </c>
      <c r="AH12" t="s">
        <v>626</v>
      </c>
      <c r="AJ12" s="1" t="e">
        <f>HLOOKUP($B$4,INVERSORES!4:75,45,0)</f>
        <v>#N/A</v>
      </c>
      <c r="AK12" s="1"/>
      <c r="AL12" s="1"/>
      <c r="AM12" s="1"/>
    </row>
    <row r="13" spans="1:45" ht="17.25" customHeight="1" x14ac:dyDescent="0.25">
      <c r="A13" s="3" t="s">
        <v>355</v>
      </c>
      <c r="B13" s="14" t="e">
        <f>HLOOKUP($B$4,INVERSORES!4:75,9,0)</f>
        <v>#N/A</v>
      </c>
      <c r="C13" s="17"/>
      <c r="H13" s="151"/>
      <c r="I13" s="151"/>
      <c r="J13" s="151"/>
      <c r="K13" s="151"/>
      <c r="L13" s="151"/>
      <c r="M13" s="151"/>
      <c r="N13" s="151"/>
      <c r="O13" s="151"/>
      <c r="AB13" t="s">
        <v>608</v>
      </c>
      <c r="AD13" s="1" t="e">
        <f>HLOOKUP($B$4,INVERSORES!4:75,32,0)</f>
        <v>#N/A</v>
      </c>
      <c r="AE13" t="s">
        <v>610</v>
      </c>
      <c r="AG13" s="1" t="e">
        <f>HLOOKUP($B$4,INVERSORES!4:75,33,0)</f>
        <v>#N/A</v>
      </c>
      <c r="AH13" t="s">
        <v>627</v>
      </c>
      <c r="AJ13" s="1" t="e">
        <f>HLOOKUP($B$4,INVERSORES!4:75,46,0)</f>
        <v>#N/A</v>
      </c>
      <c r="AK13" s="1"/>
      <c r="AL13" s="1"/>
      <c r="AM13" s="1"/>
    </row>
    <row r="14" spans="1:45" ht="17.25" customHeight="1" x14ac:dyDescent="0.25">
      <c r="A14" s="3" t="s">
        <v>454</v>
      </c>
      <c r="B14" s="14" t="e">
        <f>AC15</f>
        <v>#N/A</v>
      </c>
      <c r="H14" s="151" t="s">
        <v>446</v>
      </c>
      <c r="I14" s="151"/>
      <c r="J14" s="151"/>
      <c r="K14" s="151"/>
      <c r="L14" s="151"/>
      <c r="M14" s="151"/>
      <c r="N14" s="151"/>
      <c r="O14" s="151"/>
    </row>
    <row r="15" spans="1:45" ht="17.25" customHeight="1" x14ac:dyDescent="0.25">
      <c r="A15" s="3" t="s">
        <v>356</v>
      </c>
      <c r="B15" s="14" t="e">
        <f>AF15</f>
        <v>#N/A</v>
      </c>
      <c r="H15" s="151"/>
      <c r="I15" s="151"/>
      <c r="J15" s="151"/>
      <c r="K15" s="151"/>
      <c r="L15" s="151"/>
      <c r="M15" s="151"/>
      <c r="N15" s="151"/>
      <c r="O15" s="151"/>
      <c r="AB15" s="16" t="s">
        <v>81</v>
      </c>
      <c r="AC15" t="e">
        <f>IF(AD3=0,AD2,IF(AD4=0,CONCATENATE(AD2," / ",AD3),IF(AD5=0,CONCATENATE(AD2," / ",AD3," / ",AD4),IF(AD6=0,CONCATENATE(AD2," / ",AD3," / ",AD4," / ",AD5),IF(AD7=0,CONCATENATE(AD2," / ",AD3," / ",AD4," / ",AD5," / ",AD6),IF(AD8=0,CONCATENATE(AD2," / ",AD3," / ",AD4," / ",AD5," / ",AD6," / ",AD7),IF(AD9=0,CONCATENATE(AD2," / ",AD3," / ",AD4," / ",AD5," / ",AD6," / ",AD7," / ",AD8),IF(AD10=0,CONCATENATE(AD2," / ",AD3," / ",AD4," / ",AD5," / ",AD6," / ",AD7," / ",AD8," / ",AD9),IF(AD11=0,CONCATENATE(AD2," / ",AD3," / ",AD4," / ",AD5," / ",AD6," / ",AD7," / ",AD8," / ",AD9," / ",AD10),IF(AD12=0,CONCATENATE(AD2," / ",AD3," / ",AD4," / ",AD5," / ",AD6," / ",AD7," / ",AD8," / ",AD9," / ",AD10," / ",AD11),IF(AD13=0,CONCATENATE(AD2," / ",AD3," / ",AD4," / ",AD5," / ",AD6," / ",AD7," / ",AD8," / ",AD9," / ",AD10," / ",AD11," / ",AD12),CONCATENATE(AD2," / ",AD3," / ",AD4," / ",AD5," / ",AD6," / ",AD7," / ",AD8," / ",AD9," / ",AD10," / ",AD11," / ",AD12," / ",AD13))))))))))))</f>
        <v>#N/A</v>
      </c>
      <c r="AE15" s="16" t="s">
        <v>81</v>
      </c>
      <c r="AF15" t="e">
        <f>IF(AG3=0,AG2,IF(AG4=0,CONCATENATE(AG2," + ",AG3),IF(AG5=0,CONCATENATE(AG2," + ",AG3," + ",AG4),IF(AG6=0,CONCATENATE(AG2," + ",AG3," + ",AG4," + ",AG5),IF(AG7=0,CONCATENATE(AG2," + ",AG3," + ",AG4," + ",AG5," + ",AG6),IF(AG8=0,CONCATENATE(AG2," + ",AG3," + ",AG4," + ",AG5," + ",AG6," + ",AG7),IF(AG9=0,CONCATENATE(AG2," + ",AG3," + ",AG4," + ",AG5," + ",AG6," + ",AG7," + ",AG8),IF(AG10=0,CONCATENATE(AG2," + ",AG3," + ",AG4," + ",AG5," + ",AG6," + ",AG7," + ",AG8," + ",AG9),IF(AG11=0,CONCATENATE(AG2," + ",AG3," + ",AG4," + ",AG5," + ",AG6," + ",AG7," + ",AG8," + ",AG9," + ",AG10),IF(AG12=0,CONCATENATE(AG2," + ",AG3," + ",AG4," + ",AG5," + ",AG6," + ",AG7," + ",AG8," + ",AG9," + ",AG10," + ",AG11),IF(AG13=0,CONCATENATE(AG2," + ",AG3," + ",AG4," + ",AG5," + ",AG6," + ",AG7," + ",AG8," + ",AG9," + ",AG10," + ",AG11," + ",AG12),CONCATENATE(AG2," + ",AG3," + ",AG4," + ",AG5," + ",AG6," + ",AG7," + ",AG8," + ",AG9," + ",AG10," + ",AG11," + ",AG12," + ",AG13))))))))))))</f>
        <v>#N/A</v>
      </c>
      <c r="AH15" s="16" t="s">
        <v>81</v>
      </c>
      <c r="AI15" t="e">
        <f>IF(AJ3=0,AJ2,IF(AJ4=0,CONCATENATE(AJ2," + ",AJ3),IF(AJ5=0,CONCATENATE(AJ2," + ",AJ3," + ",AJ4),IF(AJ6=0,CONCATENATE(AJ2," + ",AJ3," + ",AJ4," + ",AJ5),IF(AJ7=0,CONCATENATE(AJ2," + ",AJ3," + ",AJ4," + ",AJ5," + ",AJ6),IF(AJ8=0,CONCATENATE(AJ2," + ",AJ3," + ",AJ4," + ",AJ5," + ",AJ6," + ",AJ7),IF(AJ9=0,CONCATENATE(AJ2," + ",AJ3," + ",AJ4," + ",AJ5," + ",AJ6," + ",AJ7," + ",AJ8),IF(AJ10=0,CONCATENATE(AJ2," + ",AJ3," + ",AJ4," + ",AJ5," + ",AJ6," + ",AJ7," + ",AJ8," + ",AJ9),IF(AJ11=0,CONCATENATE(AJ2," + ",AJ3," + ",AJ4," + ",AJ5," + ",AJ6," + ",AJ7," + ",AJ8," + ",AJ9," + ",AJ10),IF(AJ12=0,CONCATENATE(AJ2," + ",AJ3," + ",AJ4," + ",AJ5," + ",AJ6," + ",AJ7," + ",AJ8," + ",AJ9," + ",AJ10," + ",AJ11),IF(AJ13=0,CONCATENATE(AJ2," + ",AJ3," + ",AJ4," + ",AJ5," + ",AJ6," + ",AJ7," + ",AJ8," + ",AJ9," + ",AJ10," + ",AJ11," + ",AJ12),CONCATENATE(AJ2," + ",AJ3," + ",AJ4," + ",AJ5," + ",AJ6," + ",AJ7," + ",AJ8," + ",AJ9," + ",AJ10," + ",AJ11," + ",AJ12," + ",AJ13))))))))))))</f>
        <v>#N/A</v>
      </c>
    </row>
    <row r="16" spans="1:45" ht="17.25" customHeight="1" x14ac:dyDescent="0.25">
      <c r="A16" s="3" t="s">
        <v>357</v>
      </c>
      <c r="B16" s="14" t="e">
        <f>AI15</f>
        <v>#N/A</v>
      </c>
      <c r="H16" s="151"/>
      <c r="I16" s="151"/>
      <c r="J16" s="151"/>
      <c r="K16" s="151"/>
      <c r="L16" s="151"/>
      <c r="M16" s="151"/>
      <c r="N16" s="151"/>
      <c r="O16" s="151"/>
      <c r="AC16" s="57" t="s">
        <v>617</v>
      </c>
      <c r="AF16" s="57" t="s">
        <v>617</v>
      </c>
      <c r="AI16" s="57" t="s">
        <v>617</v>
      </c>
    </row>
    <row r="17" spans="1:40" s="19" customFormat="1" ht="17.25" customHeight="1" x14ac:dyDescent="0.25">
      <c r="A17" s="18"/>
      <c r="AA17" s="44"/>
      <c r="AN17" s="44"/>
    </row>
    <row r="18" spans="1:40" ht="17.25" customHeight="1" x14ac:dyDescent="0.25">
      <c r="B18" s="20"/>
      <c r="AB18" s="56" t="s">
        <v>97</v>
      </c>
      <c r="AC18" s="11" t="e">
        <f>IF(AND((ISNUMBER(AD2)),(AD2&lt;&gt;0)),1,0)</f>
        <v>#N/A</v>
      </c>
      <c r="AD18" s="57"/>
      <c r="AE18" s="57"/>
    </row>
    <row r="19" spans="1:40" ht="17.25" customHeight="1" x14ac:dyDescent="0.3">
      <c r="A19" s="15" t="s">
        <v>4</v>
      </c>
      <c r="B19" s="149"/>
      <c r="C19" s="150"/>
      <c r="D19" s="150"/>
      <c r="F19" s="126" t="e">
        <f>IF(HLOOKUP($B$19,MÓDULOS!B6:BZ22,16,0)=2,"",IF(HLOOKUP($B$19,MÓDULOS!B6:BZ22,16,0)=1,"MÓDULO BIFACIAL! ATENÇÃO AOS INCREMENTOS DE CORRENTE!",))</f>
        <v>#N/A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5"/>
      <c r="AB19" s="56" t="s">
        <v>98</v>
      </c>
      <c r="AC19" s="11" t="e">
        <f>IF(AND((ISNUMBER(AD3)),(AD3&lt;&gt;0)),1,0)</f>
        <v>#N/A</v>
      </c>
      <c r="AD19" s="57"/>
      <c r="AE19" s="57"/>
    </row>
    <row r="20" spans="1:40" ht="17.25" customHeight="1" x14ac:dyDescent="0.25">
      <c r="A20" s="82" t="s">
        <v>267</v>
      </c>
      <c r="B20" s="52" t="e">
        <f>HLOOKUP($B$19,MÓDULOS!B6:BZ22,12,0)</f>
        <v>#N/A</v>
      </c>
      <c r="F20" s="4"/>
      <c r="G20" s="42" t="s">
        <v>660</v>
      </c>
      <c r="H20" s="135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5"/>
      <c r="AB20" s="56" t="s">
        <v>99</v>
      </c>
      <c r="AC20" s="11" t="e">
        <f>IF(AND((ISNUMBER(AD4)),(AD4&lt;&gt;0)),1,0)</f>
        <v>#N/A</v>
      </c>
      <c r="AD20" s="57" t="s">
        <v>103</v>
      </c>
      <c r="AE20" s="57"/>
    </row>
    <row r="21" spans="1:40" ht="17.25" customHeight="1" x14ac:dyDescent="0.25">
      <c r="A21" s="82" t="s">
        <v>268</v>
      </c>
      <c r="B21" s="52" t="e">
        <f>HLOOKUP($B$19,MÓDULOS!B6:BZ22,13,0)</f>
        <v>#N/A</v>
      </c>
      <c r="F21" s="4"/>
      <c r="G21" t="s">
        <v>658</v>
      </c>
      <c r="I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5"/>
      <c r="AB21" s="56"/>
      <c r="AC21" s="11"/>
      <c r="AD21" s="57"/>
      <c r="AE21" s="57"/>
    </row>
    <row r="22" spans="1:40" ht="17.25" customHeight="1" x14ac:dyDescent="0.25">
      <c r="A22" s="3" t="s">
        <v>326</v>
      </c>
      <c r="B22" s="14" t="e">
        <f>HLOOKUP($B$19,MÓDULOS!B6:BZ22,14,0)</f>
        <v>#N/A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5"/>
      <c r="AB22" s="56"/>
      <c r="AC22" s="11"/>
      <c r="AD22" s="57"/>
      <c r="AE22" s="57"/>
    </row>
    <row r="23" spans="1:40" ht="17.25" customHeight="1" x14ac:dyDescent="0.25">
      <c r="A23" s="3" t="s">
        <v>327</v>
      </c>
      <c r="B23" s="14" t="e">
        <f>HLOOKUP($B$19,MÓDULOS!B6:BZ22,15,0)</f>
        <v>#N/A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5"/>
      <c r="AB23" s="56"/>
      <c r="AC23" s="11"/>
      <c r="AD23" s="57"/>
      <c r="AE23" s="57"/>
    </row>
    <row r="24" spans="1:40" ht="17.25" customHeight="1" x14ac:dyDescent="0.25">
      <c r="A24" s="3" t="s">
        <v>8</v>
      </c>
      <c r="B24" s="8">
        <v>-10</v>
      </c>
      <c r="F24" s="42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5"/>
      <c r="AB24" s="56"/>
      <c r="AC24" s="11"/>
      <c r="AD24" s="57"/>
      <c r="AE24" s="57"/>
    </row>
    <row r="25" spans="1:40" ht="17.25" customHeight="1" x14ac:dyDescent="0.25">
      <c r="A25" s="3" t="s">
        <v>9</v>
      </c>
      <c r="B25" s="8">
        <v>90</v>
      </c>
      <c r="F25" s="4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5"/>
      <c r="AB25" s="56" t="s">
        <v>100</v>
      </c>
      <c r="AC25" s="11" t="e">
        <f>IF(AND((ISNUMBER(AD5)),(AD5&lt;&gt;0)),1,0)</f>
        <v>#N/A</v>
      </c>
      <c r="AD25" s="57" t="e">
        <f>SUM(AC18:AC29)</f>
        <v>#N/A</v>
      </c>
      <c r="AE25" s="57"/>
    </row>
    <row r="26" spans="1:40" ht="17.25" customHeight="1" x14ac:dyDescent="0.25">
      <c r="A26" s="3" t="s">
        <v>10</v>
      </c>
      <c r="B26" s="8">
        <v>45</v>
      </c>
      <c r="C26" s="16" t="str">
        <f>IF(B25&lt;B26,"TEMPERATURA MÁXIMA MENOR","")</f>
        <v/>
      </c>
      <c r="D26" s="16" t="s">
        <v>697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5"/>
      <c r="AB26" s="56" t="s">
        <v>101</v>
      </c>
      <c r="AC26" s="11" t="e">
        <f>IF(AND((ISNUMBER(AD6)),(AD6&lt;&gt;0)),1,0)</f>
        <v>#N/A</v>
      </c>
      <c r="AD26" s="57"/>
      <c r="AE26" s="57"/>
    </row>
    <row r="27" spans="1:40" s="43" customFormat="1" ht="17.25" hidden="1" customHeight="1" x14ac:dyDescent="0.25">
      <c r="A27" s="108" t="s">
        <v>149</v>
      </c>
      <c r="B27" s="109"/>
      <c r="C27" s="110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60"/>
      <c r="AC27" s="7"/>
    </row>
    <row r="28" spans="1:40" ht="17.25" hidden="1" customHeight="1" x14ac:dyDescent="0.25">
      <c r="A28" s="82" t="s">
        <v>6</v>
      </c>
      <c r="B28" s="30" t="e">
        <f>B27/B29</f>
        <v>#N/A</v>
      </c>
      <c r="C28" s="1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5"/>
      <c r="AB28" s="56"/>
      <c r="AC28" s="11"/>
      <c r="AD28" s="57"/>
      <c r="AE28" s="57"/>
    </row>
    <row r="29" spans="1:40" ht="17.25" hidden="1" customHeight="1" x14ac:dyDescent="0.25">
      <c r="A29" s="3" t="s">
        <v>7</v>
      </c>
      <c r="B29" s="14" t="e">
        <f>IF(HLOOKUP($B$19,MÓDULOS!B6:BZ22,16,0)=1,(1+H20)*HLOOKUP($B$19,MÓDULOS!$B$6:$EF$14,2,0),HLOOKUP($B$19,MÓDULOS!$B$6:$EF$14,2,0))</f>
        <v>#N/A</v>
      </c>
      <c r="C29" t="s">
        <v>659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46"/>
      <c r="AB29" s="21" t="s">
        <v>102</v>
      </c>
      <c r="AC29" s="5" t="e">
        <f>IF(AND((ISNUMBER(AD7)),(AD7&lt;&gt;0)),1,0)</f>
        <v>#N/A</v>
      </c>
      <c r="AE29" t="s">
        <v>104</v>
      </c>
    </row>
    <row r="30" spans="1:40" ht="17.25" hidden="1" customHeight="1" x14ac:dyDescent="0.25">
      <c r="A30" s="3" t="s">
        <v>11</v>
      </c>
      <c r="B30" s="14" t="e">
        <f>HLOOKUP($B$19,MÓDULOS!$B$6:$EF$14,3,0)</f>
        <v>#N/A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6"/>
      <c r="AE30" s="58" t="s">
        <v>105</v>
      </c>
      <c r="AF30" s="58"/>
      <c r="AG30" s="58"/>
    </row>
    <row r="31" spans="1:40" ht="17.25" hidden="1" customHeight="1" x14ac:dyDescent="0.25">
      <c r="A31" s="3" t="s">
        <v>12</v>
      </c>
      <c r="B31" s="14" t="e">
        <f>HLOOKUP($B$19,MÓDULOS!$B$6:$EF$14,4,0)</f>
        <v>#N/A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46"/>
      <c r="AE31" s="58" t="s">
        <v>106</v>
      </c>
      <c r="AF31" s="58"/>
      <c r="AG31" s="58"/>
    </row>
    <row r="32" spans="1:40" ht="17.25" hidden="1" customHeight="1" x14ac:dyDescent="0.25">
      <c r="A32" s="3" t="s">
        <v>13</v>
      </c>
      <c r="B32" s="14" t="e">
        <f>HLOOKUP($B$19,MÓDULOS!$B$6:$EF$14,5,0)</f>
        <v>#N/A</v>
      </c>
      <c r="D32" s="1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46"/>
      <c r="AE32" s="58" t="s">
        <v>107</v>
      </c>
      <c r="AF32" s="58"/>
      <c r="AG32" s="58"/>
    </row>
    <row r="33" spans="1:40" ht="17.25" hidden="1" customHeight="1" x14ac:dyDescent="0.25">
      <c r="A33" s="3" t="s">
        <v>14</v>
      </c>
      <c r="B33" s="14" t="e">
        <f>HLOOKUP($B$19,MÓDULOS!$B$6:$EF$14,6,0)</f>
        <v>#N/A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46"/>
    </row>
    <row r="34" spans="1:40" ht="17.25" hidden="1" customHeight="1" x14ac:dyDescent="0.25">
      <c r="A34" s="3" t="s">
        <v>15</v>
      </c>
      <c r="B34" s="14" t="e">
        <f>HLOOKUP($B$19,MÓDULOS!$B$6:$EF$14,7,0)</f>
        <v>#N/A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46"/>
    </row>
    <row r="35" spans="1:40" ht="17.25" hidden="1" customHeight="1" x14ac:dyDescent="0.25">
      <c r="A35" s="3" t="s">
        <v>16</v>
      </c>
      <c r="B35" s="14" t="e">
        <f>HLOOKUP($B$19,MÓDULOS!$B$6:$EF$14,8,0)</f>
        <v>#N/A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6"/>
    </row>
    <row r="36" spans="1:40" ht="17.25" hidden="1" customHeight="1" x14ac:dyDescent="0.25">
      <c r="A36" s="3" t="s">
        <v>17</v>
      </c>
      <c r="B36" s="22" t="e">
        <f>HLOOKUP($B$19,MÓDULOS!$B$6:$EF$14,9,0)</f>
        <v>#N/A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6"/>
    </row>
    <row r="37" spans="1:40" s="19" customFormat="1" ht="17.25" hidden="1" customHeight="1" x14ac:dyDescent="0.25">
      <c r="A37" s="18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47"/>
      <c r="AN37" s="44"/>
    </row>
    <row r="38" spans="1:40" ht="17.25" hidden="1" customHeight="1" x14ac:dyDescent="0.25">
      <c r="D38" s="1"/>
      <c r="E38" s="6"/>
      <c r="F38" s="6"/>
      <c r="G38" s="6"/>
      <c r="H38" s="6"/>
      <c r="I38" s="6"/>
      <c r="J38" s="6"/>
      <c r="K38" s="6"/>
      <c r="L38" s="6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6"/>
    </row>
    <row r="39" spans="1:40" ht="17.25" hidden="1" customHeight="1" x14ac:dyDescent="0.25">
      <c r="A39" s="2" t="s">
        <v>109</v>
      </c>
      <c r="B39" s="22" t="e">
        <f>(((B25-25)*(B32/100))+1)*B33</f>
        <v>#N/A</v>
      </c>
      <c r="D39" s="1"/>
      <c r="E39" s="6"/>
      <c r="F39" s="6"/>
      <c r="G39" s="6"/>
      <c r="H39" s="6"/>
      <c r="I39" s="6"/>
      <c r="J39" s="6"/>
      <c r="K39" s="6"/>
      <c r="L39" s="6"/>
      <c r="M39" s="6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6"/>
    </row>
    <row r="40" spans="1:40" ht="17.25" hidden="1" customHeight="1" x14ac:dyDescent="0.25">
      <c r="A40" s="2" t="s">
        <v>18</v>
      </c>
      <c r="B40" s="22" t="e">
        <f>(((B26-25)*(B32/100))+1)*B33</f>
        <v>#N/A</v>
      </c>
    </row>
    <row r="41" spans="1:40" ht="17.25" hidden="1" customHeight="1" x14ac:dyDescent="0.25">
      <c r="A41" s="3" t="s">
        <v>63</v>
      </c>
      <c r="B41" s="22" t="e">
        <f>(((B24-25)*(B30/100))+1)*B34</f>
        <v>#N/A</v>
      </c>
    </row>
    <row r="42" spans="1:40" ht="17.25" hidden="1" customHeight="1" x14ac:dyDescent="0.25">
      <c r="A42" s="3" t="s">
        <v>19</v>
      </c>
      <c r="B42" s="22" t="e">
        <f>IF(HLOOKUP($B$19,MÓDULOS!B6:BZ22,16,0)=1,(1+H20)*((((B25-25)*(B31/100))+1)*B35),((((B25-25)*(B31/100))+1)*B35))</f>
        <v>#N/A</v>
      </c>
      <c r="C42" t="s">
        <v>659</v>
      </c>
    </row>
    <row r="43" spans="1:40" ht="17.25" hidden="1" customHeight="1" x14ac:dyDescent="0.25">
      <c r="A43" s="3" t="s">
        <v>20</v>
      </c>
      <c r="B43" s="22" t="e">
        <f>IF(HLOOKUP($B$19,MÓDULOS!B6:BZ22,16,0)=1,(1+H20)*((((B25-25)*(B31/100))+1)*B36),((((B25-25)*(B31/100))+1)*B36))</f>
        <v>#N/A</v>
      </c>
      <c r="C43" t="s">
        <v>659</v>
      </c>
    </row>
    <row r="44" spans="1:40" ht="17.25" hidden="1" customHeight="1" x14ac:dyDescent="0.25">
      <c r="A44" s="3" t="s">
        <v>21</v>
      </c>
      <c r="B44" s="22" t="e">
        <f>(((B25-25)*(B32/100))+1)*B29</f>
        <v>#N/A</v>
      </c>
    </row>
    <row r="45" spans="1:40" ht="17.25" hidden="1" customHeight="1" x14ac:dyDescent="0.25">
      <c r="A45" s="3" t="s">
        <v>22</v>
      </c>
      <c r="B45" s="22" t="e">
        <f>B51*B41</f>
        <v>#N/A</v>
      </c>
    </row>
    <row r="46" spans="1:40" s="43" customFormat="1" ht="17.25" hidden="1" customHeight="1" x14ac:dyDescent="0.25">
      <c r="A46" s="59" t="s">
        <v>23</v>
      </c>
      <c r="B46" s="61" t="e">
        <f>B40*B51</f>
        <v>#N/A</v>
      </c>
      <c r="C46" s="48"/>
    </row>
    <row r="47" spans="1:40" s="19" customFormat="1" ht="17.25" customHeight="1" x14ac:dyDescent="0.25">
      <c r="A47" s="25"/>
      <c r="B47" s="26"/>
      <c r="C47" s="27"/>
      <c r="AA47" s="44"/>
      <c r="AN47" s="44"/>
    </row>
    <row r="48" spans="1:40" ht="17.25" customHeight="1" x14ac:dyDescent="0.25">
      <c r="B48" s="22"/>
      <c r="C48" s="17"/>
    </row>
    <row r="49" spans="1:39" ht="17.25" customHeight="1" x14ac:dyDescent="0.3">
      <c r="A49" s="15" t="s">
        <v>95</v>
      </c>
      <c r="B49" s="22"/>
      <c r="C49" s="17"/>
    </row>
    <row r="50" spans="1:39" ht="17.25" customHeight="1" x14ac:dyDescent="0.25">
      <c r="A50" s="3" t="s">
        <v>55</v>
      </c>
      <c r="B50" s="28" t="e">
        <f>IF(AE51&gt;AE52,AE51,AE52)</f>
        <v>#N/A</v>
      </c>
      <c r="C50" s="17"/>
      <c r="AB50" s="52" t="s">
        <v>64</v>
      </c>
    </row>
    <row r="51" spans="1:39" ht="17.25" customHeight="1" x14ac:dyDescent="0.25">
      <c r="A51" s="41" t="s">
        <v>86</v>
      </c>
      <c r="B51" s="29" t="e">
        <f>ROUNDDOWN(B9/B41,0)</f>
        <v>#N/A</v>
      </c>
      <c r="AB51" s="21" t="s">
        <v>84</v>
      </c>
      <c r="AC51" s="5" t="e">
        <f>HLOOKUP($B$4,INVERSORES!4:24,5,0)</f>
        <v>#N/A</v>
      </c>
      <c r="AD51" t="s">
        <v>65</v>
      </c>
      <c r="AE51" s="5" t="e">
        <f>ROUNDUP(AC51/B34,0)</f>
        <v>#N/A</v>
      </c>
    </row>
    <row r="52" spans="1:39" ht="17.25" customHeight="1" x14ac:dyDescent="0.25">
      <c r="A52" s="3" t="s">
        <v>362</v>
      </c>
      <c r="B52" s="28" t="str">
        <f>IFERROR(ROUNDDOWN((B8*1000)/B29,0),"NÃO HÁ RELAÇÃO CC/CA MÁXIMA")</f>
        <v>NÃO HÁ RELAÇÃO CC/CA MÁXIMA</v>
      </c>
      <c r="AB52" s="21" t="s">
        <v>85</v>
      </c>
      <c r="AC52" s="5" t="e">
        <f>HLOOKUP($B$4,INVERSORES!4:24,5,0)</f>
        <v>#N/A</v>
      </c>
      <c r="AD52" t="s">
        <v>66</v>
      </c>
      <c r="AE52" s="5" t="e">
        <f>ROUNDUP(AC52/B39,0)</f>
        <v>#N/A</v>
      </c>
    </row>
    <row r="53" spans="1:39" ht="17.25" hidden="1" customHeight="1" x14ac:dyDescent="0.25">
      <c r="A53" s="3" t="s">
        <v>108</v>
      </c>
      <c r="B53" s="30" t="e">
        <f>B52/SUM(AD2:AD7)</f>
        <v>#VALUE!</v>
      </c>
      <c r="C53" s="62"/>
      <c r="AB53" s="21"/>
      <c r="AC53" s="5"/>
      <c r="AE53" s="5"/>
    </row>
    <row r="54" spans="1:39" ht="17.25" hidden="1" customHeight="1" x14ac:dyDescent="0.25">
      <c r="A54" s="3" t="s">
        <v>94</v>
      </c>
      <c r="B54" s="28" t="e">
        <f>ROUND(#REF!/B40,0)</f>
        <v>#REF!</v>
      </c>
    </row>
    <row r="55" spans="1:39" ht="17.25" customHeight="1" x14ac:dyDescent="0.25">
      <c r="B55" s="30"/>
      <c r="N55" s="17" t="e">
        <f>IF(SUM(AB59:AM59)&gt;B13,"QUANTIDADE DE MPPTs ACIMA DA CAPACIDADE DO INVERSOR","")</f>
        <v>#N/A</v>
      </c>
    </row>
    <row r="56" spans="1:39" ht="17.25" customHeight="1" x14ac:dyDescent="0.25">
      <c r="A56" s="82" t="s">
        <v>177</v>
      </c>
      <c r="B56" s="97" t="s">
        <v>370</v>
      </c>
      <c r="G56" s="17"/>
      <c r="H56" s="17"/>
      <c r="I56" s="17"/>
      <c r="J56" s="17"/>
      <c r="K56" s="17"/>
      <c r="L56" s="17"/>
      <c r="M56" s="17"/>
      <c r="N56" s="17" t="str">
        <f>IF(OR(B62="ACIMA",C62="ACIMA",D62="ACIMA",E62="ACIMA",F62="ACIMA",G62="ACIMA",H62="ACIMA",I62="ACIMA",J62="ACIMA",K62="ACIMA",L62="ACIMA",M62="ACIMA"),"MPPT(S) COM MAIS STRINGS QUE O SUPORTADO","")</f>
        <v/>
      </c>
    </row>
    <row r="57" spans="1:39" ht="17.25" customHeight="1" x14ac:dyDescent="0.25">
      <c r="A57" s="2" t="s">
        <v>44</v>
      </c>
      <c r="B57" s="31" t="e">
        <f>IF(OR(B13=1,B13=2,B13=3,B13=4,B13=5,B13=6,B13=7,B13=8,B13=9,B13=10,B13=11,B13=12),1,"N/A")</f>
        <v>#N/A</v>
      </c>
      <c r="C57" s="31" t="e">
        <f>IF(OR(B13=2,B13=3,B13=4,B13=5,B13=6,B13=7,B13=8,B13=9,B13=10,B13=11,B13=12),2,"N/A")</f>
        <v>#N/A</v>
      </c>
      <c r="D57" s="31" t="e">
        <f>IF(OR(B13=3,B13=4,B13=5,B13=6,B13=7,B13=8,B13=9,B13=10,B13=11,B13=12),3,"N/A")</f>
        <v>#N/A</v>
      </c>
      <c r="E57" s="31" t="e">
        <f>IF(OR(B13=4,B13=5,B13=6,B13=7,B13=8,B13=9,B13=10,B13=11,B13=12),4,"N/A")</f>
        <v>#N/A</v>
      </c>
      <c r="F57" s="31" t="e">
        <f>IF(OR(B13=5,B13=6,B13=7,B13=8,B13=9,B13=10,B13=11,B13=12),5,"N/A")</f>
        <v>#N/A</v>
      </c>
      <c r="G57" s="31" t="e">
        <f>IF(OR(B13=6,B13=7,B13=8,B13=9,B13=10,B13=11,B13=12),6,"N/A")</f>
        <v>#N/A</v>
      </c>
      <c r="H57" s="31" t="e">
        <f>IF(OR(B13=7,B13=8,B13=9,B13=10,B13=11,B13=12),7,"N/A")</f>
        <v>#N/A</v>
      </c>
      <c r="I57" s="31" t="e">
        <f>IF(OR(B13=8,B13=9,B13=10,B13=11,B13=12),8,"N/A")</f>
        <v>#N/A</v>
      </c>
      <c r="J57" s="31" t="e">
        <f>IF(OR(B13=9,B13=10,B13=11,B13=12),9,"N/A")</f>
        <v>#N/A</v>
      </c>
      <c r="K57" s="31" t="e">
        <f>IF(OR(B13=10,B13=11,B13=12),10,"N/A")</f>
        <v>#N/A</v>
      </c>
      <c r="L57" s="31" t="e">
        <f>IF(OR(B13=11,B13=12),11,"N/A")</f>
        <v>#N/A</v>
      </c>
      <c r="M57" s="31" t="e">
        <f>IF(B13=12,12,"N/A")</f>
        <v>#N/A</v>
      </c>
      <c r="N57" s="31"/>
      <c r="O57" s="63" t="str">
        <f>CONCATENATE("Módulo:   ",B19)</f>
        <v xml:space="preserve">Módulo:   </v>
      </c>
      <c r="S57" s="1" t="e">
        <f>IF(HLOOKUP($B$19,MÓDULOS!B6:BZ22,16,0)=1,CONCATENATE("   —&gt; ",G20," de ",(H20*100),"%"),"")</f>
        <v>#N/A</v>
      </c>
    </row>
    <row r="58" spans="1:39" ht="17.25" customHeight="1" x14ac:dyDescent="0.25">
      <c r="A58" s="3" t="s">
        <v>24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5"/>
      <c r="O58" s="64" t="str">
        <f>CONCATENATE("Inversor:   ",B4)</f>
        <v xml:space="preserve">Inversor:   </v>
      </c>
      <c r="Q58" s="16"/>
      <c r="AB58" s="52" t="s">
        <v>87</v>
      </c>
    </row>
    <row r="59" spans="1:39" ht="17.25" customHeight="1" x14ac:dyDescent="0.25">
      <c r="A59" s="3" t="s">
        <v>25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5"/>
      <c r="AB59">
        <f t="shared" ref="AB59:AM62" si="0">IF(ISNUMBER(B58),1,0)</f>
        <v>0</v>
      </c>
      <c r="AC59">
        <f t="shared" si="0"/>
        <v>0</v>
      </c>
      <c r="AD59">
        <f t="shared" si="0"/>
        <v>0</v>
      </c>
      <c r="AE59">
        <f t="shared" si="0"/>
        <v>0</v>
      </c>
      <c r="AF59">
        <f t="shared" si="0"/>
        <v>0</v>
      </c>
      <c r="AG59">
        <f t="shared" si="0"/>
        <v>0</v>
      </c>
      <c r="AH59">
        <f t="shared" si="0"/>
        <v>0</v>
      </c>
      <c r="AI59">
        <f t="shared" si="0"/>
        <v>0</v>
      </c>
      <c r="AJ59">
        <f t="shared" si="0"/>
        <v>0</v>
      </c>
      <c r="AK59">
        <f t="shared" si="0"/>
        <v>0</v>
      </c>
      <c r="AL59">
        <f t="shared" si="0"/>
        <v>0</v>
      </c>
      <c r="AM59">
        <f t="shared" si="0"/>
        <v>0</v>
      </c>
    </row>
    <row r="60" spans="1:39" ht="17.25" customHeight="1" x14ac:dyDescent="0.25">
      <c r="A60" s="3" t="s">
        <v>28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5"/>
      <c r="O60" s="65" t="s">
        <v>26</v>
      </c>
      <c r="P60" s="65" t="s">
        <v>27</v>
      </c>
      <c r="Q60" s="65" t="s">
        <v>365</v>
      </c>
      <c r="R60" s="99" t="s">
        <v>367</v>
      </c>
      <c r="AB60">
        <f t="shared" si="0"/>
        <v>0</v>
      </c>
      <c r="AC60">
        <f t="shared" si="0"/>
        <v>0</v>
      </c>
      <c r="AD60">
        <f t="shared" si="0"/>
        <v>0</v>
      </c>
      <c r="AE60">
        <f t="shared" si="0"/>
        <v>0</v>
      </c>
      <c r="AF60">
        <f t="shared" si="0"/>
        <v>0</v>
      </c>
      <c r="AG60">
        <f t="shared" si="0"/>
        <v>0</v>
      </c>
      <c r="AH60">
        <f t="shared" si="0"/>
        <v>0</v>
      </c>
      <c r="AI60">
        <f t="shared" si="0"/>
        <v>0</v>
      </c>
      <c r="AJ60">
        <f t="shared" si="0"/>
        <v>0</v>
      </c>
      <c r="AK60">
        <f t="shared" si="0"/>
        <v>0</v>
      </c>
      <c r="AL60">
        <f t="shared" si="0"/>
        <v>0</v>
      </c>
      <c r="AM60">
        <f t="shared" si="0"/>
        <v>0</v>
      </c>
    </row>
    <row r="61" spans="1:39" ht="17.25" customHeight="1" x14ac:dyDescent="0.25">
      <c r="A61" s="3" t="s">
        <v>29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5"/>
      <c r="O61" s="65">
        <f>SUM(B58:M61)</f>
        <v>0</v>
      </c>
      <c r="P61" s="65" t="e">
        <f>(O61*B29)/1000</f>
        <v>#N/A</v>
      </c>
      <c r="Q61" s="66" t="e">
        <f>P61/B7</f>
        <v>#N/A</v>
      </c>
      <c r="R61" s="143" t="str">
        <f>B84</f>
        <v>NÃO HÁ LIMITE DE RELAÇÃO CC/CA MÁXIMO</v>
      </c>
      <c r="AB61">
        <f t="shared" si="0"/>
        <v>0</v>
      </c>
      <c r="AC61">
        <f t="shared" si="0"/>
        <v>0</v>
      </c>
      <c r="AD61">
        <f t="shared" si="0"/>
        <v>0</v>
      </c>
      <c r="AE61">
        <f t="shared" si="0"/>
        <v>0</v>
      </c>
      <c r="AF61">
        <f t="shared" si="0"/>
        <v>0</v>
      </c>
      <c r="AG61">
        <f t="shared" si="0"/>
        <v>0</v>
      </c>
      <c r="AH61">
        <f t="shared" si="0"/>
        <v>0</v>
      </c>
      <c r="AI61">
        <f t="shared" si="0"/>
        <v>0</v>
      </c>
      <c r="AJ61">
        <f t="shared" si="0"/>
        <v>0</v>
      </c>
      <c r="AK61">
        <f t="shared" si="0"/>
        <v>0</v>
      </c>
      <c r="AL61">
        <f t="shared" si="0"/>
        <v>0</v>
      </c>
      <c r="AM61">
        <f t="shared" si="0"/>
        <v>0</v>
      </c>
    </row>
    <row r="62" spans="1:39" ht="17.25" customHeight="1" x14ac:dyDescent="0.25">
      <c r="A62" s="3" t="s">
        <v>372</v>
      </c>
      <c r="B62" s="31" t="str">
        <f>IF(B58="","",IF(SUM(AB59:AB62)&lt;=AD2,"OK","ACIMA"))</f>
        <v/>
      </c>
      <c r="C62" s="31" t="str">
        <f>IF(C58="","",IF(SUM(AC59:AC62)&lt;=AD3,"OK","ACIMA"))</f>
        <v/>
      </c>
      <c r="D62" s="31" t="str">
        <f>IF(D58="","",IF(SUM(AD59:AD62)&lt;=AD4,"OK","ACIMA"))</f>
        <v/>
      </c>
      <c r="E62" s="31" t="str">
        <f>IF(E58="","",IF(SUM(AE59:AE62)&lt;=AD5,"OK","ACIMA"))</f>
        <v/>
      </c>
      <c r="F62" s="31" t="str">
        <f>IF(F58="","",IF(SUM(AF59:AF62)&lt;=AD6,"OK","ACIMA"))</f>
        <v/>
      </c>
      <c r="G62" s="31" t="str">
        <f>IF(G58="","",IF(SUM(AG59:AG62)&lt;=AD7,"OK","ACIMA"))</f>
        <v/>
      </c>
      <c r="H62" s="31" t="str">
        <f>IF(H58="","",IF(SUM(AH59:AH62)&lt;=AD8,"OK","ACIMA"))</f>
        <v/>
      </c>
      <c r="I62" s="31" t="str">
        <f>IF(I58="","",IF(SUM(AI59:AI62)&lt;=AD9,"OK","ACIMA"))</f>
        <v/>
      </c>
      <c r="J62" s="31" t="str">
        <f>IF(J58="","",IF(SUM(AJ59:AJ62)&lt;=AD10,"OK","ACIMA"))</f>
        <v/>
      </c>
      <c r="K62" s="31" t="str">
        <f>IF(K58="","",IF(SUM(AK59:AK62)&lt;=AD11,"OK","ACIMA"))</f>
        <v/>
      </c>
      <c r="L62" s="31" t="str">
        <f>IF(L58="","",IF(SUM(AL59:AL62)&lt;=AD12,"OK","ACIMA"))</f>
        <v/>
      </c>
      <c r="M62" s="31" t="str">
        <f>IF(M58="","",IF(SUM(AM59:AM62)&lt;=AD13,"OK","ACIMA"))</f>
        <v/>
      </c>
      <c r="N62" s="31"/>
      <c r="O62" s="31" t="str">
        <f>IF(O61&gt;B52, "ACIMA","")</f>
        <v/>
      </c>
      <c r="Q62" s="16" t="e">
        <f>IF(B85&gt;B84,"RELAÇÃO CC/CA ACIMA DA RECOMENDAÇÃO DO FABRICANTE","RELAÇÃO CC/CA DENTRO DO PERMITIDO")</f>
        <v>#N/A</v>
      </c>
      <c r="AB62">
        <f t="shared" si="0"/>
        <v>0</v>
      </c>
      <c r="AC62">
        <f t="shared" si="0"/>
        <v>0</v>
      </c>
      <c r="AD62">
        <f t="shared" si="0"/>
        <v>0</v>
      </c>
      <c r="AE62">
        <f t="shared" si="0"/>
        <v>0</v>
      </c>
      <c r="AF62">
        <f t="shared" si="0"/>
        <v>0</v>
      </c>
      <c r="AG62">
        <f t="shared" si="0"/>
        <v>0</v>
      </c>
      <c r="AH62">
        <f t="shared" si="0"/>
        <v>0</v>
      </c>
      <c r="AI62">
        <f t="shared" si="0"/>
        <v>0</v>
      </c>
      <c r="AJ62">
        <f t="shared" si="0"/>
        <v>0</v>
      </c>
      <c r="AK62">
        <f t="shared" si="0"/>
        <v>0</v>
      </c>
      <c r="AL62">
        <f t="shared" si="0"/>
        <v>0</v>
      </c>
      <c r="AM62">
        <f t="shared" si="0"/>
        <v>0</v>
      </c>
    </row>
    <row r="63" spans="1:39" ht="17.25" customHeight="1" x14ac:dyDescent="0.25">
      <c r="A63" s="3" t="s">
        <v>374</v>
      </c>
      <c r="B63" s="32" t="str">
        <f>IF(B58="","",IF(ISNUMBER(B61),IF(AND(B61=B60,B61=B59,B61=B58),"OK","ERRO"),IF(ISNUMBER(B60),IF(AND(B60=B59,B60=B58),"OK","ERRO"),IF(ISNUMBER(B59),IF(B59=B58,"OK","ERRO"),"OK"))))</f>
        <v/>
      </c>
      <c r="C63" s="32" t="str">
        <f>IF(C58="","",IF(ISNUMBER(C61),IF(AND(C61=C60,C61=C59,C61=C58),"OK","ERRO"),IF(ISNUMBER(C60),IF(AND(C60=C59,C60=C58),"OK","ERRO"),IF(ISNUMBER(C59),IF(C59=C58,"OK","ERRO"),"OK"))))</f>
        <v/>
      </c>
      <c r="D63" s="32" t="str">
        <f>IF(D58="","",IF(ISNUMBER(D61),IF(AND(D61=D60,D61=D59,D61=D58),"OK","ERRO"),IF(ISNUMBER(D60),IF(AND(D60=D59,D60=D58),"OK","ERRO"),IF(ISNUMBER(D59),IF(D59=D58,"OK","ERRO"),"OK"))))</f>
        <v/>
      </c>
      <c r="E63" s="32" t="str">
        <f>IF(E58="","",IF(ISNUMBER(E61),IF(AND(E61=E60,E61=E59,E61=E58),"OK","ERRO"),IF(ISNUMBER(E60),IF(AND(E60=E59,E60=E58),"OK","ERRO"),IF(ISNUMBER(E59),IF(E59=E58,"OK","ERRO"),"OK"))))</f>
        <v/>
      </c>
      <c r="F63" s="32" t="str">
        <f t="shared" ref="F63:M63" si="1">IF(F58="","",IF(ISNUMBER(F61),IF(AND(F61=F60,F61=F59,F61=F58),"OK","ERRO"),IF(ISNUMBER(F60),IF(AND(F60=F59,F60=F58),"OK","ERRO"),IF(ISNUMBER(F59),IF(F59=F58,"OK","ERRO"),"OK"))))</f>
        <v/>
      </c>
      <c r="G63" s="32" t="str">
        <f t="shared" si="1"/>
        <v/>
      </c>
      <c r="H63" s="32" t="str">
        <f t="shared" si="1"/>
        <v/>
      </c>
      <c r="I63" s="32" t="str">
        <f t="shared" si="1"/>
        <v/>
      </c>
      <c r="J63" s="32" t="str">
        <f t="shared" si="1"/>
        <v/>
      </c>
      <c r="K63" s="32" t="str">
        <f t="shared" si="1"/>
        <v/>
      </c>
      <c r="L63" s="32" t="str">
        <f t="shared" si="1"/>
        <v/>
      </c>
      <c r="M63" s="32" t="str">
        <f t="shared" si="1"/>
        <v/>
      </c>
      <c r="N63" s="17" t="str">
        <f>IF(OR(B63="ERRO",C63="ERRO",D63="ERRO",E63="ERRO",F63="ERRO",G63="ERRO",H63="ERRO",I63="ERRO",J63="ERRO",K63="ERRO",L63="ERRO",M63="ERRO"),"STRING(S) COM NÚMERO DIFERENTE DE MÓDULOS","")</f>
        <v/>
      </c>
      <c r="O63" s="34"/>
      <c r="S63" s="16" t="e">
        <f>IF(B85&gt;B84,"POSSÍVEL VETO DE GARANTIA","")</f>
        <v>#N/A</v>
      </c>
      <c r="T63" s="16"/>
      <c r="U63" s="16"/>
      <c r="V63" s="16"/>
      <c r="W63" s="16"/>
      <c r="X63" s="16"/>
      <c r="Y63" s="16"/>
      <c r="Z63" s="16"/>
    </row>
    <row r="64" spans="1:39" ht="17.25" customHeight="1" x14ac:dyDescent="0.25">
      <c r="A64" s="3" t="s">
        <v>377</v>
      </c>
      <c r="B64" s="5" t="str">
        <f>IF(B58="","",SUM(B58:B61))</f>
        <v/>
      </c>
      <c r="C64" s="5" t="str">
        <f>IF(C58="","",SUM(C58:C61))</f>
        <v/>
      </c>
      <c r="D64" s="5" t="str">
        <f>IF(D58="","",SUM(D58:D61))</f>
        <v/>
      </c>
      <c r="E64" s="5" t="str">
        <f>IF(E58="","",SUM(E58:E61))</f>
        <v/>
      </c>
      <c r="F64" s="5" t="str">
        <f t="shared" ref="F64:M64" si="2">IF(F58="","",SUM(F58:F61))</f>
        <v/>
      </c>
      <c r="G64" s="5" t="str">
        <f t="shared" si="2"/>
        <v/>
      </c>
      <c r="H64" s="5" t="str">
        <f t="shared" si="2"/>
        <v/>
      </c>
      <c r="I64" s="5" t="str">
        <f t="shared" si="2"/>
        <v/>
      </c>
      <c r="J64" s="5" t="str">
        <f t="shared" si="2"/>
        <v/>
      </c>
      <c r="K64" s="5" t="str">
        <f t="shared" si="2"/>
        <v/>
      </c>
      <c r="L64" s="5" t="str">
        <f t="shared" si="2"/>
        <v/>
      </c>
      <c r="M64" s="5" t="str">
        <f t="shared" si="2"/>
        <v/>
      </c>
      <c r="N64" s="5"/>
      <c r="O64" s="104" t="s">
        <v>282</v>
      </c>
      <c r="AF64" s="53" t="s">
        <v>88</v>
      </c>
      <c r="AG64" s="1" t="e">
        <f>IF(LARGE(B73:E73,1)&gt;900,CONCATENATE("STB.",(AB59+AB60+AB61+AB62+AC59+AC60+AC61+AC62+AD59+AD60+AD61+AD62+AE59+AE60+AE61+AE62),"E",(AB59+AC59+AD59+AE59),"S.1000Vcc"),IF(LARGE(B73:E73,1)&gt;600,CONCATENATE("STB.",(AB59+AB60+AB61+AB62+AC59+AC60+AC61+AC62+AD59+AD60+AD61+AD62+AE59+AE60+AE61+AE62),"E",(AB59+AC59+AD59+AE59),"S.900Vcc"),IF(LARGE(B73:E73,1)&gt;500,CONCATENATE("STB.",(AB59+AB60+AB61+AB62+AC59+AC60+AC61+AC62+AD59+AD60+AD61+AD62+AE59+AE60+AE61+AE62),"E",(AB59+AC59+AD59+AE59),"S.600Vcc"),CONCATENATE("STB.",(AB59+AB60+AB61+AB62+AC59+AC60+AC61+AC62+AD59+AD60+AD61+AD62+AE59+AE60+AE61+AE62),"E",(AB59+AC59+AD59+AE59),"S.500Vcc"))))</f>
        <v>#NUM!</v>
      </c>
    </row>
    <row r="65" spans="1:33" ht="17.25" customHeight="1" x14ac:dyDescent="0.25">
      <c r="A65" s="3" t="s">
        <v>240</v>
      </c>
      <c r="B65" s="5" t="str">
        <f>IFERROR((IF(ISNUMBER(B57),ROUNDDOWN((B66*1000)/$B$29,0),"")),"N/A")</f>
        <v/>
      </c>
      <c r="C65" s="5" t="str">
        <f t="shared" ref="C65:M65" si="3">IFERROR((IF(ISNUMBER(C57),ROUNDDOWN((C66*1000)/$B$29,0),"")),"N/A")</f>
        <v/>
      </c>
      <c r="D65" s="5" t="str">
        <f t="shared" si="3"/>
        <v/>
      </c>
      <c r="E65" s="5" t="str">
        <f t="shared" si="3"/>
        <v/>
      </c>
      <c r="F65" s="5" t="str">
        <f t="shared" si="3"/>
        <v/>
      </c>
      <c r="G65" s="5" t="str">
        <f t="shared" si="3"/>
        <v/>
      </c>
      <c r="H65" s="5" t="str">
        <f t="shared" si="3"/>
        <v/>
      </c>
      <c r="I65" s="5" t="str">
        <f t="shared" si="3"/>
        <v/>
      </c>
      <c r="J65" s="5" t="str">
        <f t="shared" si="3"/>
        <v/>
      </c>
      <c r="K65" s="5" t="str">
        <f t="shared" si="3"/>
        <v/>
      </c>
      <c r="L65" s="5" t="str">
        <f t="shared" si="3"/>
        <v/>
      </c>
      <c r="M65" s="5" t="str">
        <f t="shared" si="3"/>
        <v/>
      </c>
      <c r="N65" s="5"/>
      <c r="O65" t="s">
        <v>661</v>
      </c>
      <c r="AF65" s="53"/>
      <c r="AG65" s="1"/>
    </row>
    <row r="66" spans="1:33" ht="17.25" customHeight="1" x14ac:dyDescent="0.25">
      <c r="A66" s="3" t="s">
        <v>190</v>
      </c>
      <c r="B66" s="35" t="str">
        <f>IFERROR((IF(ISNUMBER(B57),($B$8/(SUM($AD$2:$AD$7))*AD2)*1.2,"")),"N/A")</f>
        <v/>
      </c>
      <c r="C66" s="35" t="str">
        <f>IFERROR((IF(ISNUMBER(C57),($B$8/(SUM($AD$2:$AD$7))*AD3)*1.2,"")),"N/A")</f>
        <v/>
      </c>
      <c r="D66" s="35" t="str">
        <f>IFERROR((IF(ISNUMBER(D57),($B$8/(SUM($AD$2:$AD$7))*AD4)*1.2,"")),"N/A")</f>
        <v/>
      </c>
      <c r="E66" s="35" t="str">
        <f>IFERROR((IF(ISNUMBER(E57),($B$8/(SUM($AD$2:$AD$7))*AD5)*1.2,"")),"N/A")</f>
        <v/>
      </c>
      <c r="F66" s="35" t="str">
        <f>IFERROR((IF(ISNUMBER(F57),($B$8/(SUM($AD$2:$AD$7))*AD6)*1.2,"")),"N/A")</f>
        <v/>
      </c>
      <c r="G66" s="35" t="str">
        <f>IFERROR((IF(ISNUMBER(G57),($B$8/(SUM($AD$2:$AD$7))*AD7)*1.2,"")),"N/A")</f>
        <v/>
      </c>
      <c r="H66" s="35" t="str">
        <f>IFERROR((IF(ISNUMBER(H57),($B$8/(SUM($AD$2:$AD$7))*AD8)*1.2,"")),"N/A")</f>
        <v/>
      </c>
      <c r="I66" s="35" t="str">
        <f>IFERROR((IF(ISNUMBER(I57),($B$8/(SUM($AD$2:$AD$7))*AD9)*1.2,"")),"N/A")</f>
        <v/>
      </c>
      <c r="J66" s="35" t="str">
        <f>IFERROR((IF(ISNUMBER(J57),($B$8/(SUM($AD$2:$AD$7))*AD10)*1.2,"")),"N/A")</f>
        <v/>
      </c>
      <c r="K66" s="35" t="str">
        <f>IFERROR((IF(ISNUMBER(K57),($B$8/(SUM($AD$2:$AD$7))*AD11)*1.2,"")),"N/A")</f>
        <v/>
      </c>
      <c r="L66" s="35" t="str">
        <f>IFERROR((IF(ISNUMBER(L57),($B$8/(SUM($AD$2:$AD$7))*AD12)*1.2,"")),"N/A")</f>
        <v/>
      </c>
      <c r="M66" s="35" t="str">
        <f>IFERROR((IF(ISNUMBER(M57),($B$8/(SUM($AD$2:$AD$7))*AD13)*1.2,"")),"N/A")</f>
        <v/>
      </c>
      <c r="N66" s="35"/>
      <c r="O66" t="s">
        <v>289</v>
      </c>
      <c r="AF66" s="53"/>
      <c r="AG66" s="1"/>
    </row>
    <row r="67" spans="1:33" ht="17.25" customHeight="1" x14ac:dyDescent="0.25">
      <c r="A67" s="3" t="s">
        <v>30</v>
      </c>
      <c r="B67" s="5" t="str">
        <f t="shared" ref="B67:M67" si="4">IF(B58="","",((SUM(B58:B61)*$B$29)/1000))</f>
        <v/>
      </c>
      <c r="C67" s="5" t="str">
        <f t="shared" si="4"/>
        <v/>
      </c>
      <c r="D67" s="5" t="str">
        <f t="shared" si="4"/>
        <v/>
      </c>
      <c r="E67" s="5" t="str">
        <f t="shared" si="4"/>
        <v/>
      </c>
      <c r="F67" s="5" t="str">
        <f t="shared" si="4"/>
        <v/>
      </c>
      <c r="G67" s="5" t="str">
        <f t="shared" si="4"/>
        <v/>
      </c>
      <c r="H67" s="5" t="str">
        <f t="shared" si="4"/>
        <v/>
      </c>
      <c r="I67" s="5" t="str">
        <f t="shared" si="4"/>
        <v/>
      </c>
      <c r="J67" s="5" t="str">
        <f t="shared" si="4"/>
        <v/>
      </c>
      <c r="K67" s="5" t="str">
        <f t="shared" si="4"/>
        <v/>
      </c>
      <c r="L67" s="5" t="str">
        <f t="shared" si="4"/>
        <v/>
      </c>
      <c r="M67" s="5" t="str">
        <f t="shared" si="4"/>
        <v/>
      </c>
      <c r="N67" s="5"/>
      <c r="O67" s="32"/>
      <c r="P67" s="33"/>
      <c r="AF67" s="53" t="s">
        <v>89</v>
      </c>
      <c r="AG67" s="14">
        <f>SUM(AB59:AG62)</f>
        <v>0</v>
      </c>
    </row>
    <row r="68" spans="1:33" ht="17.25" customHeight="1" x14ac:dyDescent="0.25">
      <c r="A68" s="3" t="s">
        <v>113</v>
      </c>
      <c r="B68" s="101" t="str">
        <f t="shared" ref="B68:M68" si="5">IF(B58="","",IF(B67&gt;B66,"ACIMA","OK"))</f>
        <v/>
      </c>
      <c r="C68" s="102" t="str">
        <f t="shared" si="5"/>
        <v/>
      </c>
      <c r="D68" s="102" t="str">
        <f t="shared" si="5"/>
        <v/>
      </c>
      <c r="E68" s="102" t="str">
        <f t="shared" si="5"/>
        <v/>
      </c>
      <c r="F68" s="102" t="str">
        <f t="shared" si="5"/>
        <v/>
      </c>
      <c r="G68" s="102" t="str">
        <f t="shared" si="5"/>
        <v/>
      </c>
      <c r="H68" s="102" t="str">
        <f t="shared" si="5"/>
        <v/>
      </c>
      <c r="I68" s="102" t="str">
        <f t="shared" si="5"/>
        <v/>
      </c>
      <c r="J68" s="102" t="str">
        <f t="shared" si="5"/>
        <v/>
      </c>
      <c r="K68" s="102" t="str">
        <f t="shared" si="5"/>
        <v/>
      </c>
      <c r="L68" s="102" t="str">
        <f t="shared" si="5"/>
        <v/>
      </c>
      <c r="M68" s="102" t="str">
        <f t="shared" si="5"/>
        <v/>
      </c>
      <c r="N68" s="31"/>
      <c r="O68" s="104" t="s">
        <v>282</v>
      </c>
      <c r="P68" s="33"/>
      <c r="AA68"/>
      <c r="AF68" s="53"/>
      <c r="AG68" s="14"/>
    </row>
    <row r="69" spans="1:33" ht="17.25" customHeight="1" x14ac:dyDescent="0.25">
      <c r="A69" s="3" t="s">
        <v>110</v>
      </c>
      <c r="B69" s="35" t="str">
        <f t="shared" ref="B69:M69" si="6">IF(B64="","",B58*$B$39)</f>
        <v/>
      </c>
      <c r="C69" s="35" t="str">
        <f t="shared" si="6"/>
        <v/>
      </c>
      <c r="D69" s="35" t="str">
        <f t="shared" si="6"/>
        <v/>
      </c>
      <c r="E69" s="35" t="str">
        <f t="shared" si="6"/>
        <v/>
      </c>
      <c r="F69" s="35" t="str">
        <f t="shared" si="6"/>
        <v/>
      </c>
      <c r="G69" s="35" t="str">
        <f t="shared" si="6"/>
        <v/>
      </c>
      <c r="H69" s="35" t="str">
        <f t="shared" si="6"/>
        <v/>
      </c>
      <c r="I69" s="35" t="str">
        <f t="shared" si="6"/>
        <v/>
      </c>
      <c r="J69" s="35" t="str">
        <f t="shared" si="6"/>
        <v/>
      </c>
      <c r="K69" s="35" t="str">
        <f t="shared" si="6"/>
        <v/>
      </c>
      <c r="L69" s="35" t="str">
        <f t="shared" si="6"/>
        <v/>
      </c>
      <c r="M69" s="35" t="str">
        <f t="shared" si="6"/>
        <v/>
      </c>
      <c r="N69" s="35"/>
      <c r="O69" t="s">
        <v>664</v>
      </c>
      <c r="AF69" s="53" t="s">
        <v>90</v>
      </c>
      <c r="AG69" s="14">
        <f>AB59+AC59+AD59+AE59+AF59+AG59</f>
        <v>0</v>
      </c>
    </row>
    <row r="70" spans="1:33" ht="17.25" customHeight="1" x14ac:dyDescent="0.25">
      <c r="A70" s="3" t="s">
        <v>111</v>
      </c>
      <c r="B70" s="35" t="str">
        <f t="shared" ref="B70:M70" si="7">IF(B64="","",B58*$B$40)</f>
        <v/>
      </c>
      <c r="C70" s="35" t="str">
        <f t="shared" si="7"/>
        <v/>
      </c>
      <c r="D70" s="35" t="str">
        <f t="shared" si="7"/>
        <v/>
      </c>
      <c r="E70" s="35" t="str">
        <f t="shared" si="7"/>
        <v/>
      </c>
      <c r="F70" s="35" t="str">
        <f t="shared" si="7"/>
        <v/>
      </c>
      <c r="G70" s="35" t="str">
        <f t="shared" si="7"/>
        <v/>
      </c>
      <c r="H70" s="35" t="str">
        <f t="shared" si="7"/>
        <v/>
      </c>
      <c r="I70" s="35" t="str">
        <f t="shared" si="7"/>
        <v/>
      </c>
      <c r="J70" s="35" t="str">
        <f t="shared" si="7"/>
        <v/>
      </c>
      <c r="K70" s="35" t="str">
        <f t="shared" si="7"/>
        <v/>
      </c>
      <c r="L70" s="35" t="str">
        <f t="shared" si="7"/>
        <v/>
      </c>
      <c r="M70" s="35" t="str">
        <f t="shared" si="7"/>
        <v/>
      </c>
      <c r="N70" s="35"/>
      <c r="O70" t="s">
        <v>380</v>
      </c>
      <c r="AF70" s="53"/>
      <c r="AG70" s="14"/>
    </row>
    <row r="71" spans="1:33" ht="17.25" customHeight="1" x14ac:dyDescent="0.25">
      <c r="A71" s="3" t="s">
        <v>113</v>
      </c>
      <c r="B71" s="36" t="str">
        <f t="shared" ref="B71:M71" si="8">IF(B69="","",IF(B58&lt;$B$50,"+MÓD",IF(B69&gt;$B$12,"ACIMA","OK")))</f>
        <v/>
      </c>
      <c r="C71" s="36" t="str">
        <f t="shared" si="8"/>
        <v/>
      </c>
      <c r="D71" s="36" t="str">
        <f t="shared" si="8"/>
        <v/>
      </c>
      <c r="E71" s="36" t="str">
        <f t="shared" si="8"/>
        <v/>
      </c>
      <c r="F71" s="36" t="str">
        <f t="shared" si="8"/>
        <v/>
      </c>
      <c r="G71" s="36" t="str">
        <f t="shared" si="8"/>
        <v/>
      </c>
      <c r="H71" s="36" t="str">
        <f t="shared" si="8"/>
        <v/>
      </c>
      <c r="I71" s="36" t="str">
        <f t="shared" si="8"/>
        <v/>
      </c>
      <c r="J71" s="36" t="str">
        <f t="shared" si="8"/>
        <v/>
      </c>
      <c r="K71" s="36" t="str">
        <f t="shared" si="8"/>
        <v/>
      </c>
      <c r="L71" s="36" t="str">
        <f t="shared" si="8"/>
        <v/>
      </c>
      <c r="M71" s="36" t="str">
        <f t="shared" si="8"/>
        <v/>
      </c>
      <c r="N71" s="36"/>
      <c r="O71" t="s">
        <v>665</v>
      </c>
      <c r="AF71" s="53" t="s">
        <v>92</v>
      </c>
      <c r="AG71" s="14" t="e">
        <f>IF(LARGE(B73:E73,1)&gt;900,1000,IF(LARGE(B73:E73,1)&gt;800,900,IF(LARGE(B73:E73,1)&gt;600,800,IF(LARGE(B73:E73,1)&gt;500,600,500))))</f>
        <v>#NUM!</v>
      </c>
    </row>
    <row r="72" spans="1:33" ht="17.25" hidden="1" customHeight="1" x14ac:dyDescent="0.25">
      <c r="A72" s="3" t="s">
        <v>112</v>
      </c>
      <c r="B72" s="36" t="str">
        <f>IFERROR(IF(B64="","",IF(B70/#REF!&gt;1,#REF!/B70,B70/#REF!)),"N/A")</f>
        <v/>
      </c>
      <c r="C72" s="36" t="str">
        <f>IFERROR(IF(C64="","",IF(C70/#REF!&gt;1,#REF!/C70,C70/#REF!)),"N/A")</f>
        <v/>
      </c>
      <c r="D72" s="36" t="str">
        <f>IFERROR(IF(D64="","",IF(D70/#REF!&gt;1,#REF!/D70,D70/#REF!)),"N/A")</f>
        <v/>
      </c>
      <c r="E72" s="36" t="str">
        <f>IFERROR(IF(E64="","",IF(E70/#REF!&gt;1,#REF!/E70,E70/#REF!)),"N/A")</f>
        <v/>
      </c>
      <c r="F72" s="36" t="str">
        <f>IFERROR(IF(F64="","",IF(F70/#REF!&gt;1,#REF!/F70,F70/#REF!)),"N/A")</f>
        <v/>
      </c>
      <c r="G72" s="36" t="str">
        <f>IFERROR(IF(G64="","",IF(G70/#REF!&gt;1,#REF!/G70,G70/#REF!)),"N/A")</f>
        <v/>
      </c>
      <c r="H72" s="36"/>
      <c r="I72" s="36"/>
      <c r="J72" s="36"/>
      <c r="K72" s="36"/>
      <c r="L72" s="36"/>
      <c r="M72" s="36"/>
      <c r="N72" s="36"/>
      <c r="AD72" s="51" t="s">
        <v>91</v>
      </c>
    </row>
    <row r="73" spans="1:33" ht="17.25" customHeight="1" x14ac:dyDescent="0.25">
      <c r="A73" s="3" t="s">
        <v>378</v>
      </c>
      <c r="B73" s="35" t="str">
        <f t="shared" ref="B73:M73" si="9">IF(B64="","",B58*$B$41)</f>
        <v/>
      </c>
      <c r="C73" s="35" t="str">
        <f t="shared" si="9"/>
        <v/>
      </c>
      <c r="D73" s="35" t="str">
        <f t="shared" si="9"/>
        <v/>
      </c>
      <c r="E73" s="35" t="str">
        <f t="shared" si="9"/>
        <v/>
      </c>
      <c r="F73" s="35" t="str">
        <f t="shared" si="9"/>
        <v/>
      </c>
      <c r="G73" s="35" t="str">
        <f t="shared" si="9"/>
        <v/>
      </c>
      <c r="H73" s="35" t="str">
        <f t="shared" si="9"/>
        <v/>
      </c>
      <c r="I73" s="35" t="str">
        <f t="shared" si="9"/>
        <v/>
      </c>
      <c r="J73" s="35" t="str">
        <f t="shared" si="9"/>
        <v/>
      </c>
      <c r="K73" s="35" t="str">
        <f t="shared" si="9"/>
        <v/>
      </c>
      <c r="L73" s="35" t="str">
        <f t="shared" si="9"/>
        <v/>
      </c>
      <c r="M73" s="35" t="str">
        <f t="shared" si="9"/>
        <v/>
      </c>
      <c r="N73" s="35"/>
      <c r="O73" t="s">
        <v>666</v>
      </c>
      <c r="AA73" s="7"/>
      <c r="AD73" s="54" t="e">
        <f>IF(AG64="STB.6E2S.900Vcc","STB.6E2S.1000Vcc",IF(AG64="STB.8E4S.900Vcc","STB.8E4S.1000Vcc",IF(AG64="STB.9E3S.900Vcc","STB.9E3S.1000Vcc",IF(AG64="STB.12E4S.900Vcc","STB.12E4S.1000Vcc",AG64))))</f>
        <v>#NUM!</v>
      </c>
      <c r="AE73" s="11" t="e">
        <f>IF(OR(AD73="STB.6E2S.1000Vcc",AD73="STB.8E4S.1000Vcc",AD73="STB.9E3S.1000Vcc",AD73="STB.12E4S.1000Vcc"),"(ProAuto)","---")</f>
        <v>#NUM!</v>
      </c>
    </row>
    <row r="74" spans="1:33" ht="17.25" customHeight="1" x14ac:dyDescent="0.25">
      <c r="A74" s="3" t="s">
        <v>113</v>
      </c>
      <c r="B74" s="36" t="str">
        <f>IF(B73="","",IF(B73&gt;$B$9,"ACIMA","OK"))</f>
        <v/>
      </c>
      <c r="C74" s="36" t="str">
        <f t="shared" ref="C74:E74" si="10">IF(C73="","",IF(C73&gt;$B$9,"ACIMA","OK"))</f>
        <v/>
      </c>
      <c r="D74" s="36" t="str">
        <f t="shared" si="10"/>
        <v/>
      </c>
      <c r="E74" s="36" t="str">
        <f t="shared" si="10"/>
        <v/>
      </c>
      <c r="F74" s="36" t="str">
        <f t="shared" ref="F74:M74" si="11">IF(F73="","",IF(F73&gt;$B$9,"ACIMA","OK"))</f>
        <v/>
      </c>
      <c r="G74" s="36" t="str">
        <f t="shared" si="11"/>
        <v/>
      </c>
      <c r="H74" s="36" t="str">
        <f t="shared" si="11"/>
        <v/>
      </c>
      <c r="I74" s="36" t="str">
        <f t="shared" si="11"/>
        <v/>
      </c>
      <c r="J74" s="36" t="str">
        <f t="shared" si="11"/>
        <v/>
      </c>
      <c r="K74" s="36" t="str">
        <f t="shared" si="11"/>
        <v/>
      </c>
      <c r="L74" s="36" t="str">
        <f t="shared" si="11"/>
        <v/>
      </c>
      <c r="M74" s="36" t="str">
        <f t="shared" si="11"/>
        <v/>
      </c>
      <c r="N74" s="36"/>
      <c r="O74" s="16" t="s">
        <v>381</v>
      </c>
      <c r="AA74" s="7"/>
    </row>
    <row r="75" spans="1:33" ht="17.25" customHeight="1" x14ac:dyDescent="0.25">
      <c r="A75" s="3" t="s">
        <v>93</v>
      </c>
      <c r="B75" s="35" t="str">
        <f t="shared" ref="B75:M75" si="12">IF(B64="","",(AB59+AB60+AB61+AB62)*$B$42)</f>
        <v/>
      </c>
      <c r="C75" s="35" t="str">
        <f t="shared" si="12"/>
        <v/>
      </c>
      <c r="D75" s="35" t="str">
        <f t="shared" si="12"/>
        <v/>
      </c>
      <c r="E75" s="35" t="str">
        <f t="shared" si="12"/>
        <v/>
      </c>
      <c r="F75" s="35" t="str">
        <f t="shared" si="12"/>
        <v/>
      </c>
      <c r="G75" s="35" t="str">
        <f t="shared" si="12"/>
        <v/>
      </c>
      <c r="H75" s="35" t="str">
        <f t="shared" si="12"/>
        <v/>
      </c>
      <c r="I75" s="35" t="str">
        <f t="shared" si="12"/>
        <v/>
      </c>
      <c r="J75" s="35" t="str">
        <f t="shared" si="12"/>
        <v/>
      </c>
      <c r="K75" s="35" t="str">
        <f t="shared" si="12"/>
        <v/>
      </c>
      <c r="L75" s="35" t="str">
        <f t="shared" si="12"/>
        <v/>
      </c>
      <c r="M75" s="35" t="str">
        <f t="shared" si="12"/>
        <v/>
      </c>
      <c r="N75" s="35"/>
      <c r="O75" t="s">
        <v>667</v>
      </c>
      <c r="AA75" s="7"/>
    </row>
    <row r="76" spans="1:33" ht="17.25" customHeight="1" x14ac:dyDescent="0.25">
      <c r="A76" s="3" t="s">
        <v>113</v>
      </c>
      <c r="B76" s="84" t="str">
        <f>IF(B77="","",IF(B75&gt;AG2,"Ver obs.2","OK"))</f>
        <v/>
      </c>
      <c r="C76" s="84" t="str">
        <f>IF(C77="","",IF(C75&gt;AG3,"Ver obs.2","OK"))</f>
        <v/>
      </c>
      <c r="D76" s="84" t="str">
        <f>IF(D77="","",IF(D75&gt;AG4,"Ver obs.2","OK"))</f>
        <v/>
      </c>
      <c r="E76" s="84" t="str">
        <f>IF(E77="","",IF(E75&gt;AG5,"Ver obs.2","OK"))</f>
        <v/>
      </c>
      <c r="F76" s="84" t="str">
        <f>IF(F77="","",IF(F75&gt;AG6,"Ver obs.2","OK"))</f>
        <v/>
      </c>
      <c r="G76" s="84" t="str">
        <f>IF(G77="","",IF(G75&gt;AG7,"Ver obs.2","OK"))</f>
        <v/>
      </c>
      <c r="H76" s="84" t="str">
        <f>IF(H77="","",IF(H75&gt;AG8,"Ver obs.2","OK"))</f>
        <v/>
      </c>
      <c r="I76" s="84" t="str">
        <f>IF(I77="","",IF(I75&gt;AG9,"Ver obs.2","OK"))</f>
        <v/>
      </c>
      <c r="J76" s="84" t="str">
        <f>IF(J77="","",IF(J75&gt;AG10,"Ver obs.2","OK"))</f>
        <v/>
      </c>
      <c r="K76" s="84" t="str">
        <f>IF(K77="","",IF(K75&gt;AG11,"Ver obs.2","OK"))</f>
        <v/>
      </c>
      <c r="L76" s="84" t="str">
        <f>IF(L77="","",IF(L75&gt;AG12,"Ver obs.2","OK"))</f>
        <v/>
      </c>
      <c r="M76" s="84" t="str">
        <f>IF(M77="","",IF(M75&gt;AG13,"Ver obs.2","OK"))</f>
        <v/>
      </c>
      <c r="N76" s="84"/>
      <c r="O76" t="s">
        <v>662</v>
      </c>
      <c r="AA76" s="7"/>
    </row>
    <row r="77" spans="1:33" ht="17.25" customHeight="1" x14ac:dyDescent="0.25">
      <c r="A77" s="3" t="s">
        <v>166</v>
      </c>
      <c r="B77" s="37" t="str">
        <f t="shared" ref="B77:M77" si="13">IF(B64="","",(AB59+AB60+AB61+AB62)*$B$43)</f>
        <v/>
      </c>
      <c r="C77" s="37" t="str">
        <f t="shared" si="13"/>
        <v/>
      </c>
      <c r="D77" s="37" t="str">
        <f t="shared" si="13"/>
        <v/>
      </c>
      <c r="E77" s="37" t="str">
        <f t="shared" si="13"/>
        <v/>
      </c>
      <c r="F77" s="37" t="str">
        <f t="shared" si="13"/>
        <v/>
      </c>
      <c r="G77" s="37" t="str">
        <f t="shared" si="13"/>
        <v/>
      </c>
      <c r="H77" s="37" t="str">
        <f t="shared" si="13"/>
        <v/>
      </c>
      <c r="I77" s="37" t="str">
        <f t="shared" si="13"/>
        <v/>
      </c>
      <c r="J77" s="37" t="str">
        <f t="shared" si="13"/>
        <v/>
      </c>
      <c r="K77" s="37" t="str">
        <f t="shared" si="13"/>
        <v/>
      </c>
      <c r="L77" s="37" t="str">
        <f t="shared" si="13"/>
        <v/>
      </c>
      <c r="M77" s="37" t="str">
        <f t="shared" si="13"/>
        <v/>
      </c>
      <c r="N77" s="37"/>
      <c r="O77" t="s">
        <v>663</v>
      </c>
      <c r="AA77" s="7"/>
    </row>
    <row r="78" spans="1:33" ht="17.25" customHeight="1" x14ac:dyDescent="0.25">
      <c r="A78" s="3" t="s">
        <v>113</v>
      </c>
      <c r="B78" s="38" t="str">
        <f>IF(B77="","",IF($AI$15=0,"N/A",IF(B77&gt;AJ2,"ACIMA","OK")))</f>
        <v/>
      </c>
      <c r="C78" s="39" t="str">
        <f>IF(C77="","",IF($AI$15=0,"N/A",IF(C77&gt;AJ3,"ACIMA","OK")))</f>
        <v/>
      </c>
      <c r="D78" s="39" t="str">
        <f>IF(D77="","",IF($AI$15=0,"N/A",IF(D77&gt;AJ4,"ACIMA","OK")))</f>
        <v/>
      </c>
      <c r="E78" s="39" t="str">
        <f>IF(E77="","",IF($AI$15=0,"N/A",IF(E77&gt;AJ5,"ACIMA","OK")))</f>
        <v/>
      </c>
      <c r="F78" s="39" t="str">
        <f>IF(F77="","",IF($AI$15=0,"N/A",IF(F77&gt;AJ6,"ACIMA","OK")))</f>
        <v/>
      </c>
      <c r="G78" s="39" t="str">
        <f>IF(G77="","",IF($AI$15=0,"N/A",IF(G77&gt;AJ7,"ACIMA","OK")))</f>
        <v/>
      </c>
      <c r="H78" s="39" t="str">
        <f>IF(H77="","",IF($AI$15=0,"N/A",IF(H77&gt;AJ8,"ACIMA","OK")))</f>
        <v/>
      </c>
      <c r="I78" s="39" t="str">
        <f>IF(I77="","",IF($AI$15=0,"N/A",IF(I77&gt;AJ9,"ACIMA","OK")))</f>
        <v/>
      </c>
      <c r="J78" s="39" t="str">
        <f>IF(J77="","",IF($AI$15=0,"N/A",IF(J77&gt;AJ10,"ACIMA","OK")))</f>
        <v/>
      </c>
      <c r="K78" s="39" t="str">
        <f>IF(K77="","",IF($AI$15=0,"N/A",IF(K77&gt;AJ11,"ACIMA","OK")))</f>
        <v/>
      </c>
      <c r="L78" s="39" t="str">
        <f>IF(L77="","",IF($AI$15=0,"N/A",IF(L77&gt;AJ12,"ACIMA","OK")))</f>
        <v/>
      </c>
      <c r="M78" s="39" t="str">
        <f>IF(M77="","",IF($AI$15=0,"N/A",IF(M77&gt;AJ13,"ACIMA","OK")))</f>
        <v/>
      </c>
      <c r="N78" s="36"/>
      <c r="AA78" s="7"/>
      <c r="AB78" s="5"/>
    </row>
    <row r="79" spans="1:33" ht="17.25" customHeight="1" x14ac:dyDescent="0.25">
      <c r="B79" s="112" t="s">
        <v>307</v>
      </c>
      <c r="C79" s="111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AB79" s="5"/>
    </row>
    <row r="80" spans="1:33" ht="17.25" customHeight="1" x14ac:dyDescent="0.25">
      <c r="B80" s="113" t="str">
        <f>IF((OR(B76="Ver obs.2",C76="Ver obs.2",D76="Ver obs.2",E76="Ver obs.2",F76="Ver obs.2",G76="Ver obs.2")),"Obs.2: provável clipping na corrente máxima do inversor (não impede utilização do módulo)","")</f>
        <v/>
      </c>
      <c r="C80" s="111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S80" s="112"/>
      <c r="T80" s="112"/>
      <c r="U80" s="112"/>
      <c r="V80" s="112"/>
      <c r="W80" s="112"/>
      <c r="X80" s="112"/>
      <c r="Y80" s="112"/>
      <c r="Z80" s="112"/>
      <c r="AB80" s="5"/>
    </row>
    <row r="81" spans="1:28" s="43" customFormat="1" ht="17.25" hidden="1" customHeight="1" x14ac:dyDescent="0.25">
      <c r="A81" s="59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AB81" s="7"/>
    </row>
    <row r="82" spans="1:28" ht="17.25" hidden="1" customHeight="1" x14ac:dyDescent="0.25">
      <c r="A82" s="2" t="s">
        <v>31</v>
      </c>
      <c r="B82" s="22" t="e">
        <f>(O61*B44)/1000</f>
        <v>#N/A</v>
      </c>
      <c r="C82" s="17"/>
      <c r="AA82" s="7"/>
      <c r="AB82" s="5"/>
    </row>
    <row r="83" spans="1:28" ht="17.25" hidden="1" customHeight="1" x14ac:dyDescent="0.25">
      <c r="A83" s="3" t="s">
        <v>32</v>
      </c>
      <c r="B83" s="14" t="e">
        <f>((O61*B29)/1000)</f>
        <v>#N/A</v>
      </c>
      <c r="C83" s="17"/>
    </row>
    <row r="84" spans="1:28" ht="17.25" hidden="1" customHeight="1" x14ac:dyDescent="0.25">
      <c r="A84" s="3" t="s">
        <v>676</v>
      </c>
      <c r="B84" s="40" t="str">
        <f>IFERROR(ROUND(B8/B7,2),"NÃO HÁ LIMITE DE RELAÇÃO CC/CA MÁXIMO")</f>
        <v>NÃO HÁ LIMITE DE RELAÇÃO CC/CA MÁXIMO</v>
      </c>
      <c r="C84" s="17"/>
      <c r="P84" s="17"/>
    </row>
    <row r="85" spans="1:28" ht="17.25" hidden="1" customHeight="1" x14ac:dyDescent="0.25">
      <c r="A85" s="3" t="s">
        <v>33</v>
      </c>
      <c r="B85" s="40" t="e">
        <f>ROUND(B83/B7,2)</f>
        <v>#N/A</v>
      </c>
      <c r="C85" s="17" t="e">
        <f>IF(B85&gt;B84,"ACIMA DA RECOMENDAÇÃO DO FABRICANTE","")</f>
        <v>#N/A</v>
      </c>
    </row>
    <row r="86" spans="1:28" ht="17.25" hidden="1" customHeight="1" x14ac:dyDescent="0.25">
      <c r="B86" s="40"/>
      <c r="C86" s="17"/>
    </row>
    <row r="87" spans="1:28" ht="17.25" hidden="1" customHeight="1" x14ac:dyDescent="0.25">
      <c r="B87" s="40"/>
      <c r="C87" s="17"/>
    </row>
    <row r="88" spans="1:28" ht="17.25" hidden="1" customHeight="1" x14ac:dyDescent="0.25">
      <c r="B88" s="40"/>
      <c r="C88" s="17"/>
    </row>
    <row r="89" spans="1:28" s="43" customFormat="1" ht="17.25" hidden="1" customHeight="1" x14ac:dyDescent="0.25">
      <c r="A89" s="59" t="s">
        <v>285</v>
      </c>
      <c r="B89" s="139" t="e">
        <f>CONCATENATE(AG67,"E/",AG69,"S-",AG71,"V")</f>
        <v>#NUM!</v>
      </c>
      <c r="C89" s="48"/>
      <c r="E89" s="43" t="s">
        <v>315</v>
      </c>
    </row>
    <row r="90" spans="1:28" ht="17.25" customHeight="1" x14ac:dyDescent="0.25">
      <c r="A90" s="3" t="s">
        <v>301</v>
      </c>
      <c r="B90" s="52" t="e">
        <f>HLOOKUP($B$4,INVERSORES!4:37,34,0)</f>
        <v>#N/A</v>
      </c>
      <c r="E90" t="e">
        <f>IF(B90="DISPENSA STRING BOX","","sugestão para um padrão de conexões pré-determinado")</f>
        <v>#N/A</v>
      </c>
    </row>
    <row r="91" spans="1:28" ht="17.25" customHeight="1" x14ac:dyDescent="0.25">
      <c r="B91" s="52" t="s">
        <v>284</v>
      </c>
    </row>
    <row r="92" spans="1:28" ht="17.25" customHeight="1" x14ac:dyDescent="0.25">
      <c r="B92" s="52"/>
    </row>
    <row r="93" spans="1:28" ht="17.25" customHeight="1" x14ac:dyDescent="0.25">
      <c r="B93" s="116" t="s">
        <v>282</v>
      </c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1:28" ht="17.25" customHeight="1" x14ac:dyDescent="0.25">
      <c r="B94" s="106" t="s">
        <v>628</v>
      </c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1:28" ht="17.25" customHeight="1" x14ac:dyDescent="0.25">
      <c r="B95" s="115" t="s">
        <v>629</v>
      </c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1:28" ht="17.25" customHeight="1" x14ac:dyDescent="0.25">
      <c r="B96" s="115" t="s">
        <v>703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1:40" s="19" customFormat="1" ht="17.25" customHeight="1" x14ac:dyDescent="0.25">
      <c r="A97" s="25"/>
      <c r="B97" s="117"/>
      <c r="C97" s="117"/>
      <c r="D97" s="118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AA97" s="44"/>
      <c r="AN97" s="44"/>
    </row>
    <row r="98" spans="1:40" ht="17.25" customHeight="1" x14ac:dyDescent="0.25">
      <c r="B98" s="32"/>
      <c r="C98" s="32"/>
      <c r="D98" s="16"/>
    </row>
    <row r="99" spans="1:40" ht="17.25" customHeight="1" x14ac:dyDescent="0.3">
      <c r="A99" s="15" t="s">
        <v>383</v>
      </c>
      <c r="B99" s="32"/>
      <c r="C99" s="32"/>
      <c r="D99" s="16"/>
    </row>
    <row r="100" spans="1:40" ht="17.25" customHeight="1" x14ac:dyDescent="0.25">
      <c r="A100" s="82" t="s">
        <v>177</v>
      </c>
      <c r="B100" s="97" t="s">
        <v>486</v>
      </c>
      <c r="C100" s="32"/>
      <c r="D100" s="16"/>
    </row>
    <row r="101" spans="1:40" ht="17.25" customHeight="1" x14ac:dyDescent="0.25">
      <c r="A101" s="3" t="s">
        <v>386</v>
      </c>
      <c r="B101" s="8"/>
    </row>
    <row r="102" spans="1:40" ht="17.25" customHeight="1" x14ac:dyDescent="0.25">
      <c r="A102" s="3" t="s">
        <v>96</v>
      </c>
      <c r="B102" s="8"/>
      <c r="D102" t="s">
        <v>384</v>
      </c>
    </row>
    <row r="103" spans="1:40" ht="17.25" customHeight="1" x14ac:dyDescent="0.25">
      <c r="A103" s="41" t="s">
        <v>34</v>
      </c>
      <c r="B103" s="29" t="e">
        <f>P61*(B102/100)*B101</f>
        <v>#N/A</v>
      </c>
      <c r="D103" s="114" t="s">
        <v>283</v>
      </c>
    </row>
    <row r="104" spans="1:40" ht="17.25" customHeight="1" x14ac:dyDescent="0.25">
      <c r="A104" s="41" t="s">
        <v>35</v>
      </c>
      <c r="B104" s="29" t="e">
        <f>B103*30.41</f>
        <v>#N/A</v>
      </c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48"/>
    </row>
    <row r="105" spans="1:40" ht="17.25" customHeight="1" x14ac:dyDescent="0.25">
      <c r="A105" s="41" t="s">
        <v>36</v>
      </c>
      <c r="B105" s="29" t="e">
        <f>B104*12</f>
        <v>#N/A</v>
      </c>
      <c r="P105" s="17"/>
    </row>
    <row r="106" spans="1:40" ht="17.25" customHeight="1" x14ac:dyDescent="0.25">
      <c r="B106" s="107"/>
      <c r="P106" s="17"/>
    </row>
    <row r="107" spans="1:40" ht="17.25" customHeight="1" x14ac:dyDescent="0.25">
      <c r="P107" s="17"/>
    </row>
    <row r="110" spans="1:40" ht="17.25" customHeight="1" x14ac:dyDescent="0.25"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48"/>
    </row>
    <row r="111" spans="1:40" ht="17.25" customHeight="1" x14ac:dyDescent="0.25">
      <c r="P111" s="17"/>
    </row>
    <row r="112" spans="1:40" ht="17.25" customHeight="1" x14ac:dyDescent="0.25">
      <c r="P112" s="17"/>
    </row>
    <row r="113" spans="16:27" ht="17.25" customHeight="1" x14ac:dyDescent="0.25">
      <c r="P113" s="17"/>
    </row>
    <row r="114" spans="16:27" ht="17.25" customHeight="1" x14ac:dyDescent="0.25">
      <c r="P114" s="17"/>
    </row>
    <row r="115" spans="16:27" ht="17.25" customHeight="1" x14ac:dyDescent="0.25">
      <c r="R115" s="17"/>
      <c r="S115" s="5"/>
      <c r="T115" s="5"/>
      <c r="U115" s="5"/>
      <c r="V115" s="5"/>
      <c r="W115" s="5"/>
      <c r="X115" s="5"/>
      <c r="Y115" s="5"/>
      <c r="Z115" s="5"/>
      <c r="AA115" s="7"/>
    </row>
    <row r="117" spans="16:27" ht="17.25" customHeight="1" x14ac:dyDescent="0.25">
      <c r="R117" s="42"/>
      <c r="S117" s="14"/>
      <c r="T117" s="14"/>
      <c r="U117" s="14"/>
      <c r="V117" s="14"/>
      <c r="W117" s="14"/>
      <c r="X117" s="14"/>
      <c r="Y117" s="14"/>
      <c r="Z117" s="14"/>
      <c r="AA117" s="49"/>
    </row>
    <row r="118" spans="16:27" ht="17.25" customHeight="1" x14ac:dyDescent="0.25">
      <c r="R118" s="42"/>
      <c r="S118" s="14"/>
      <c r="T118" s="14"/>
      <c r="U118" s="14"/>
      <c r="V118" s="14"/>
      <c r="W118" s="14"/>
      <c r="X118" s="14"/>
      <c r="Y118" s="14"/>
      <c r="Z118" s="14"/>
      <c r="AA118" s="49"/>
    </row>
    <row r="119" spans="16:27" ht="17.25" customHeight="1" x14ac:dyDescent="0.25">
      <c r="R119" s="42"/>
      <c r="S119" s="14"/>
      <c r="T119" s="14"/>
      <c r="U119" s="14"/>
      <c r="V119" s="14"/>
      <c r="W119" s="14"/>
      <c r="X119" s="14"/>
      <c r="Y119" s="14"/>
      <c r="Z119" s="14"/>
      <c r="AA119" s="49"/>
    </row>
    <row r="123" spans="16:27" ht="17.25" customHeight="1" x14ac:dyDescent="0.25">
      <c r="S123" s="32"/>
      <c r="T123" s="32"/>
      <c r="U123" s="32"/>
      <c r="V123" s="32"/>
      <c r="W123" s="32"/>
      <c r="X123" s="32"/>
      <c r="Y123" s="32"/>
      <c r="Z123" s="32"/>
      <c r="AA123" s="49"/>
    </row>
    <row r="124" spans="16:27" ht="17.25" customHeight="1" x14ac:dyDescent="0.25">
      <c r="R124" s="17"/>
      <c r="S124" s="5"/>
      <c r="T124" s="5"/>
      <c r="U124" s="5"/>
      <c r="V124" s="5"/>
      <c r="W124" s="5"/>
      <c r="X124" s="5"/>
      <c r="Y124" s="5"/>
      <c r="Z124" s="5"/>
      <c r="AA124" s="7"/>
    </row>
    <row r="125" spans="16:27" ht="17.25" customHeight="1" x14ac:dyDescent="0.25">
      <c r="R125" s="17"/>
      <c r="S125" s="5"/>
      <c r="T125" s="5"/>
      <c r="U125" s="5"/>
      <c r="V125" s="5"/>
      <c r="W125" s="5"/>
      <c r="X125" s="5"/>
      <c r="Y125" s="5"/>
      <c r="Z125" s="5"/>
      <c r="AA125" s="7"/>
    </row>
    <row r="126" spans="16:27" ht="17.25" customHeight="1" x14ac:dyDescent="0.25">
      <c r="R126" s="17"/>
      <c r="S126" s="5"/>
      <c r="T126" s="5"/>
      <c r="U126" s="5"/>
      <c r="V126" s="5"/>
      <c r="W126" s="5"/>
      <c r="X126" s="5"/>
      <c r="Y126" s="5"/>
      <c r="Z126" s="5"/>
      <c r="AA126" s="7"/>
    </row>
    <row r="128" spans="16:27" ht="17.25" customHeight="1" x14ac:dyDescent="0.25">
      <c r="R128" s="42"/>
      <c r="S128" s="14"/>
      <c r="T128" s="14"/>
      <c r="U128" s="14"/>
      <c r="V128" s="14"/>
      <c r="W128" s="14"/>
      <c r="X128" s="14"/>
      <c r="Y128" s="14"/>
      <c r="Z128" s="14"/>
      <c r="AA128" s="50"/>
    </row>
    <row r="129" spans="18:27" ht="17.25" customHeight="1" x14ac:dyDescent="0.25">
      <c r="R129" s="42"/>
      <c r="S129" s="14"/>
      <c r="T129" s="14"/>
      <c r="U129" s="14"/>
      <c r="V129" s="14"/>
      <c r="W129" s="14"/>
      <c r="X129" s="14"/>
      <c r="Y129" s="14"/>
      <c r="Z129" s="14"/>
      <c r="AA129" s="50"/>
    </row>
    <row r="130" spans="18:27" ht="17.25" customHeight="1" x14ac:dyDescent="0.25">
      <c r="R130" s="42"/>
      <c r="S130" s="14"/>
      <c r="T130" s="14"/>
      <c r="U130" s="14"/>
      <c r="V130" s="14"/>
      <c r="W130" s="14"/>
      <c r="X130" s="14"/>
      <c r="Y130" s="14"/>
      <c r="Z130" s="14"/>
      <c r="AA130" s="50"/>
    </row>
  </sheetData>
  <sheetProtection algorithmName="SHA-512" hashValue="vFyKenKoYUD39sLAaci7ZTqsFtic1/RC2/gtXMmdnhhHf9E8Drve/YzDo8FEXZBOgT/qlnQvCA1c1QsUes8e6A==" saltValue="ELcBnxNBz2leNaRAlmRU2w==" spinCount="100000" sheet="1" objects="1" scenarios="1" selectLockedCells="1"/>
  <mergeCells count="7">
    <mergeCell ref="H1:J4"/>
    <mergeCell ref="B4:E4"/>
    <mergeCell ref="B19:D19"/>
    <mergeCell ref="H9:O11"/>
    <mergeCell ref="H12:O13"/>
    <mergeCell ref="H14:O16"/>
    <mergeCell ref="H5:O8"/>
  </mergeCells>
  <phoneticPr fontId="6" type="noConversion"/>
  <conditionalFormatting sqref="B79">
    <cfRule type="containsText" dxfId="30" priority="8" operator="containsText" text="ACIMA">
      <formula>NOT(ISERROR(SEARCH("ACIMA",B79)))</formula>
    </cfRule>
    <cfRule type="containsText" dxfId="29" priority="9" operator="containsText" text="ERRO">
      <formula>NOT(ISERROR(SEARCH("ERRO",B79)))</formula>
    </cfRule>
    <cfRule type="containsText" dxfId="28" priority="10" operator="containsText" text="OK">
      <formula>NOT(ISERROR(SEARCH("OK",B79)))</formula>
    </cfRule>
  </conditionalFormatting>
  <conditionalFormatting sqref="B65:M66">
    <cfRule type="containsText" dxfId="27" priority="1" operator="containsText" text="N/A">
      <formula>NOT(ISERROR(SEARCH("N/A",B65)))</formula>
    </cfRule>
  </conditionalFormatting>
  <conditionalFormatting sqref="B62:N62">
    <cfRule type="containsText" dxfId="26" priority="23" operator="containsText" text="OK">
      <formula>NOT(ISERROR(SEARCH("OK",B62)))</formula>
    </cfRule>
    <cfRule type="containsText" dxfId="25" priority="24" operator="containsText" text="acima">
      <formula>NOT(ISERROR(SEARCH("acima",B62)))</formula>
    </cfRule>
  </conditionalFormatting>
  <conditionalFormatting sqref="B63:N63">
    <cfRule type="containsText" dxfId="24" priority="26" operator="containsText" text="erro">
      <formula>NOT(ISERROR(SEARCH("erro",B63)))</formula>
    </cfRule>
    <cfRule type="containsText" dxfId="23" priority="27" operator="containsText" text="ok">
      <formula>NOT(ISERROR(SEARCH("ok",B63)))</formula>
    </cfRule>
  </conditionalFormatting>
  <conditionalFormatting sqref="B68:N68">
    <cfRule type="containsText" dxfId="22" priority="13" operator="containsText" text="ACIMA">
      <formula>NOT(ISERROR(SEARCH("ACIMA",B68)))</formula>
    </cfRule>
    <cfRule type="containsText" dxfId="21" priority="14" operator="containsText" text="OK">
      <formula>NOT(ISERROR(SEARCH("OK",B68)))</formula>
    </cfRule>
    <cfRule type="containsText" dxfId="20" priority="15" operator="containsText" text="OK">
      <formula>NOT(ISERROR(SEARCH("OK",B68)))</formula>
    </cfRule>
  </conditionalFormatting>
  <conditionalFormatting sqref="B71:N72 B74:N74 B77:N78 C79:N80 S80:Z80 B81:N81">
    <cfRule type="containsText" dxfId="18" priority="32" operator="containsText" text="ERRO">
      <formula>NOT(ISERROR(SEARCH("ERRO",B71)))</formula>
    </cfRule>
  </conditionalFormatting>
  <conditionalFormatting sqref="B71:N72 B74:N74 C79:N80 S80:Z80 B81:N81">
    <cfRule type="containsText" dxfId="17" priority="30" operator="containsText" text="ACIMA">
      <formula>NOT(ISERROR(SEARCH("ACIMA",B71)))</formula>
    </cfRule>
  </conditionalFormatting>
  <conditionalFormatting sqref="B71:N72">
    <cfRule type="containsText" dxfId="16" priority="31" operator="containsText" text="OK">
      <formula>NOT(ISERROR(SEARCH("OK",B71)))</formula>
    </cfRule>
  </conditionalFormatting>
  <conditionalFormatting sqref="B72:N72">
    <cfRule type="containsText" dxfId="15" priority="22" operator="containsText" text="mod">
      <formula>NOT(ISERROR(SEARCH("mod",B72)))</formula>
    </cfRule>
  </conditionalFormatting>
  <conditionalFormatting sqref="B74:N74 B77:N78 C79:N80 S80:Z80 B81:N81 C82:C89 N55 G56:N56">
    <cfRule type="containsText" dxfId="14" priority="33" operator="containsText" text="OK">
      <formula>NOT(ISERROR(SEARCH("OK",B55)))</formula>
    </cfRule>
  </conditionalFormatting>
  <conditionalFormatting sqref="B76:N76">
    <cfRule type="containsText" dxfId="13" priority="11" operator="containsText" text="obs">
      <formula>NOT(ISERROR(SEARCH("obs",B76)))</formula>
    </cfRule>
    <cfRule type="containsText" dxfId="12" priority="20" operator="containsText" text="OK">
      <formula>NOT(ISERROR(SEARCH("OK",B76)))</formula>
    </cfRule>
  </conditionalFormatting>
  <conditionalFormatting sqref="B76:N78">
    <cfRule type="containsText" dxfId="11" priority="19" operator="containsText" text="ACIMA">
      <formula>NOT(ISERROR(SEARCH("ACIMA",B76)))</formula>
    </cfRule>
  </conditionalFormatting>
  <conditionalFormatting sqref="C26:C28">
    <cfRule type="containsText" dxfId="10" priority="21" operator="containsText" text="menor">
      <formula>NOT(ISERROR(SEARCH("menor",C26)))</formula>
    </cfRule>
  </conditionalFormatting>
  <conditionalFormatting sqref="C82">
    <cfRule type="containsText" dxfId="9" priority="36" operator="containsText" text="NÚMERO NÃO-INTEIRO DE MÓDULOS">
      <formula>NOT(ISERROR(SEARCH("NÚMERO NÃO-INTEIRO DE MÓDULOS",C82)))</formula>
    </cfRule>
  </conditionalFormatting>
  <conditionalFormatting sqref="C83:C84">
    <cfRule type="containsText" dxfId="8" priority="34" operator="containsText" text="TENSÃO ACIMA DA FAIXA DO MPPT">
      <formula>NOT(ISERROR(SEARCH("TENSÃO ACIMA DA FAIXA DO MPPT",C83)))</formula>
    </cfRule>
  </conditionalFormatting>
  <conditionalFormatting sqref="C85:C89">
    <cfRule type="containsText" dxfId="7" priority="29" operator="containsText" text="ACIMA DA RECOMENDAÇÃO DO FABRICANTE">
      <formula>NOT(ISERROR(SEARCH("ACIMA DA RECOMENDAÇÃO DO FABRICANTE",C85)))</formula>
    </cfRule>
  </conditionalFormatting>
  <conditionalFormatting sqref="N55 G56:N56 O60:O61">
    <cfRule type="containsText" dxfId="6" priority="35" operator="containsText" text="ACIMA DA CAPACIDADE DO INVERSOR (PREENCHIMENTO INCORRETO)">
      <formula>NOT(ISERROR(SEARCH("ACIMA DA CAPACIDADE DO INVERSOR (PREENCHIMENTO INCORRETO)",G55)))</formula>
    </cfRule>
  </conditionalFormatting>
  <conditionalFormatting sqref="N55 G56:N56">
    <cfRule type="containsText" dxfId="5" priority="28" operator="containsText" text="QUANTIDADE DE MPPTs ACIMA DA CAPACIDADE DO INVERSOR">
      <formula>NOT(ISERROR(SEARCH("QUANTIDADE DE MPPTs ACIMA DA CAPACIDADE DO INVERSOR",G55)))</formula>
    </cfRule>
  </conditionalFormatting>
  <conditionalFormatting sqref="N56 N63">
    <cfRule type="containsText" dxfId="4" priority="25" operator="containsText" text="STRING">
      <formula>NOT(ISERROR(SEARCH("STRING",N56)))</formula>
    </cfRule>
  </conditionalFormatting>
  <conditionalFormatting sqref="O62">
    <cfRule type="containsText" dxfId="3" priority="3" operator="containsText" text="ACIMA">
      <formula>NOT(ISERROR(SEARCH("ACIMA",O62)))</formula>
    </cfRule>
  </conditionalFormatting>
  <conditionalFormatting sqref="Q62">
    <cfRule type="containsText" dxfId="2" priority="16" operator="containsText" text="DENTRO">
      <formula>NOT(ISERROR(SEARCH("DENTRO",Q62)))</formula>
    </cfRule>
    <cfRule type="containsText" dxfId="1" priority="17" operator="containsText" text="ACIMA">
      <formula>NOT(ISERROR(SEARCH("ACIMA",Q62)))</formula>
    </cfRule>
  </conditionalFormatting>
  <conditionalFormatting sqref="S63:Z63">
    <cfRule type="containsText" dxfId="0" priority="4" operator="containsText" text="POSSÍVEL">
      <formula>NOT(ISERROR(SEARCH("POSSÍVEL",S63)))</formula>
    </cfRule>
  </conditionalFormatting>
  <dataValidations count="1">
    <dataValidation type="list" allowBlank="1" showInputMessage="1" showErrorMessage="1" sqref="H20" xr:uid="{9500244C-F0CE-4437-9271-2FE65EE37A3C}">
      <formula1>"0%,5%,10%,15%,20%,25%"</formula1>
    </dataValidation>
  </dataValidations>
  <hyperlinks>
    <hyperlink ref="D103" r:id="rId1" xr:uid="{3219E845-C1D7-4586-AE9C-35EEC332267B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077ACE61-7B2E-484F-8A46-E242BD964A55}">
            <xm:f>NOT(ISERROR(SEARCH("+",B71)))</xm:f>
            <xm:f>"+"</xm:f>
            <x14:dxf>
              <font>
                <color rgb="FF9C0006"/>
              </font>
            </x14:dxf>
          </x14:cfRule>
          <xm:sqref>B71:N71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B15924B-BD52-4CE0-A14E-CC306D0866BB}">
          <x14:formula1>
            <xm:f>MÓDULOS!$C$6:$H$6</xm:f>
          </x14:formula1>
          <xm:sqref>B19</xm:sqref>
        </x14:dataValidation>
        <x14:dataValidation type="list" allowBlank="1" showInputMessage="1" showErrorMessage="1" xr:uid="{1BA19EA4-42C7-4BA8-BD51-4CEF362E08D0}">
          <x14:formula1>
            <xm:f>INVERSORES!$C$4:$CI$4</xm:f>
          </x14:formula1>
          <xm:sqref>B4:E4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3B328-751F-49B2-9E8A-871186735C2E}">
  <sheetPr codeName="Planilha2"/>
  <dimension ref="A1:CI60"/>
  <sheetViews>
    <sheetView zoomScaleNormal="100" workbookViewId="0">
      <pane xSplit="1" topLeftCell="B1" activePane="topRight" state="frozen"/>
      <selection pane="topRight" activeCell="B12" sqref="B12"/>
    </sheetView>
  </sheetViews>
  <sheetFormatPr defaultColWidth="15" defaultRowHeight="15" x14ac:dyDescent="0.25"/>
  <cols>
    <col min="1" max="1" width="34.28515625" customWidth="1"/>
    <col min="2" max="2" width="15" customWidth="1"/>
    <col min="15" max="15" width="15" style="5"/>
    <col min="37" max="37" width="15" customWidth="1"/>
  </cols>
  <sheetData>
    <row r="1" spans="1:87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P1" s="5"/>
      <c r="Q1" s="5"/>
      <c r="R1" s="5"/>
      <c r="S1" s="5"/>
      <c r="T1" s="5"/>
      <c r="U1" s="11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87" ht="15" customHeight="1" x14ac:dyDescent="0.25">
      <c r="A2" s="55"/>
      <c r="B2" s="5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s="5"/>
      <c r="Q2" s="5"/>
      <c r="R2" s="5"/>
      <c r="S2" s="5"/>
      <c r="T2" s="5"/>
      <c r="U2" s="11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87" ht="15" customHeight="1" x14ac:dyDescent="0.25">
      <c r="A3" s="55"/>
      <c r="B3" s="94" t="s">
        <v>172</v>
      </c>
      <c r="U3" s="57"/>
    </row>
    <row r="4" spans="1:87" x14ac:dyDescent="0.25">
      <c r="A4" s="7" t="s">
        <v>43</v>
      </c>
      <c r="B4" s="95" t="s">
        <v>173</v>
      </c>
      <c r="C4" s="140" t="s">
        <v>678</v>
      </c>
      <c r="D4" s="140" t="s">
        <v>679</v>
      </c>
      <c r="E4" s="140" t="s">
        <v>680</v>
      </c>
      <c r="F4" s="140" t="s">
        <v>681</v>
      </c>
      <c r="G4" s="140" t="s">
        <v>682</v>
      </c>
      <c r="H4" s="140" t="s">
        <v>683</v>
      </c>
      <c r="I4" s="140" t="s">
        <v>684</v>
      </c>
      <c r="J4" s="140" t="s">
        <v>685</v>
      </c>
      <c r="K4" s="140" t="s">
        <v>686</v>
      </c>
      <c r="L4" s="140" t="s">
        <v>687</v>
      </c>
      <c r="M4" s="140" t="s">
        <v>688</v>
      </c>
      <c r="N4" s="140" t="s">
        <v>689</v>
      </c>
      <c r="O4" s="144" t="s">
        <v>690</v>
      </c>
      <c r="P4" s="11" t="s">
        <v>489</v>
      </c>
      <c r="Q4" s="11" t="s">
        <v>490</v>
      </c>
      <c r="R4" s="11" t="s">
        <v>491</v>
      </c>
      <c r="S4" s="11" t="s">
        <v>492</v>
      </c>
      <c r="T4" s="11" t="s">
        <v>493</v>
      </c>
      <c r="U4" s="11" t="s">
        <v>494</v>
      </c>
      <c r="V4" s="11" t="s">
        <v>495</v>
      </c>
      <c r="W4" s="11" t="s">
        <v>496</v>
      </c>
      <c r="X4" s="11" t="s">
        <v>497</v>
      </c>
      <c r="Y4" s="11" t="s">
        <v>498</v>
      </c>
      <c r="Z4" s="11" t="s">
        <v>499</v>
      </c>
      <c r="AA4" s="7" t="s">
        <v>500</v>
      </c>
      <c r="AB4" s="7" t="s">
        <v>501</v>
      </c>
      <c r="AC4" s="7" t="s">
        <v>502</v>
      </c>
      <c r="AD4" s="7" t="s">
        <v>503</v>
      </c>
      <c r="AE4" s="7" t="s">
        <v>504</v>
      </c>
      <c r="AF4" s="7" t="s">
        <v>505</v>
      </c>
      <c r="AG4" s="7" t="s">
        <v>506</v>
      </c>
      <c r="AH4" s="7" t="s">
        <v>507</v>
      </c>
      <c r="AI4" s="7" t="s">
        <v>508</v>
      </c>
      <c r="AJ4" s="7" t="s">
        <v>509</v>
      </c>
      <c r="AK4" s="7" t="s">
        <v>510</v>
      </c>
      <c r="AL4" s="7" t="s">
        <v>511</v>
      </c>
      <c r="AM4" s="7" t="s">
        <v>512</v>
      </c>
      <c r="AN4" s="7" t="s">
        <v>513</v>
      </c>
      <c r="AO4" s="7" t="s">
        <v>514</v>
      </c>
      <c r="AP4" s="7" t="s">
        <v>515</v>
      </c>
      <c r="AQ4" s="7" t="s">
        <v>516</v>
      </c>
      <c r="AR4" s="7" t="s">
        <v>517</v>
      </c>
      <c r="AS4" s="7" t="s">
        <v>518</v>
      </c>
      <c r="AT4" s="12" t="s">
        <v>519</v>
      </c>
      <c r="AU4" s="12" t="s">
        <v>520</v>
      </c>
      <c r="AV4" s="12" t="s">
        <v>521</v>
      </c>
      <c r="AW4" s="12" t="s">
        <v>522</v>
      </c>
      <c r="AX4" s="12" t="s">
        <v>523</v>
      </c>
      <c r="AY4" s="12" t="s">
        <v>524</v>
      </c>
      <c r="AZ4" s="12" t="s">
        <v>525</v>
      </c>
      <c r="BA4" s="12" t="s">
        <v>526</v>
      </c>
      <c r="BB4" s="12" t="s">
        <v>527</v>
      </c>
      <c r="BC4" s="12" t="s">
        <v>528</v>
      </c>
      <c r="BD4" s="13" t="s">
        <v>529</v>
      </c>
      <c r="BE4" s="13" t="s">
        <v>558</v>
      </c>
      <c r="BF4" s="13" t="s">
        <v>530</v>
      </c>
      <c r="BG4" s="13" t="s">
        <v>559</v>
      </c>
      <c r="BH4" s="13" t="s">
        <v>531</v>
      </c>
      <c r="BI4" s="13" t="s">
        <v>560</v>
      </c>
      <c r="BJ4" s="13" t="s">
        <v>563</v>
      </c>
      <c r="BK4" s="13" t="s">
        <v>564</v>
      </c>
      <c r="BL4" s="13" t="s">
        <v>565</v>
      </c>
      <c r="BM4" s="129" t="s">
        <v>648</v>
      </c>
      <c r="BN4" s="129" t="s">
        <v>649</v>
      </c>
      <c r="BO4" s="129" t="s">
        <v>650</v>
      </c>
      <c r="BP4" s="129" t="s">
        <v>651</v>
      </c>
      <c r="BQ4" s="129" t="s">
        <v>652</v>
      </c>
      <c r="BR4" s="129" t="s">
        <v>653</v>
      </c>
      <c r="BS4" s="129" t="s">
        <v>566</v>
      </c>
      <c r="BT4" s="129" t="s">
        <v>567</v>
      </c>
      <c r="BU4" s="129" t="s">
        <v>568</v>
      </c>
      <c r="BV4" s="129" t="s">
        <v>569</v>
      </c>
      <c r="BW4" s="129" t="s">
        <v>570</v>
      </c>
      <c r="BX4" s="129" t="s">
        <v>571</v>
      </c>
      <c r="BY4" s="129" t="s">
        <v>572</v>
      </c>
      <c r="BZ4" s="129" t="s">
        <v>573</v>
      </c>
      <c r="CA4" s="129" t="s">
        <v>589</v>
      </c>
      <c r="CB4" s="129" t="s">
        <v>590</v>
      </c>
      <c r="CC4" s="129" t="s">
        <v>591</v>
      </c>
      <c r="CD4" s="129" t="s">
        <v>595</v>
      </c>
      <c r="CE4" s="129" t="s">
        <v>596</v>
      </c>
      <c r="CF4" s="129" t="s">
        <v>597</v>
      </c>
      <c r="CG4" s="129" t="s">
        <v>601</v>
      </c>
      <c r="CH4" s="129" t="s">
        <v>602</v>
      </c>
      <c r="CI4" s="129" t="s">
        <v>603</v>
      </c>
    </row>
    <row r="5" spans="1:87" x14ac:dyDescent="0.25">
      <c r="A5" s="5" t="s">
        <v>41</v>
      </c>
      <c r="B5" s="96"/>
      <c r="C5" s="5">
        <v>5</v>
      </c>
      <c r="D5" s="5">
        <v>6</v>
      </c>
      <c r="E5" s="5">
        <v>8</v>
      </c>
      <c r="F5" s="5">
        <v>10</v>
      </c>
      <c r="G5" s="5">
        <v>15</v>
      </c>
      <c r="H5" s="5">
        <v>25</v>
      </c>
      <c r="I5" s="5">
        <v>20</v>
      </c>
      <c r="J5" s="5">
        <v>30</v>
      </c>
      <c r="K5" s="5">
        <v>36</v>
      </c>
      <c r="L5" s="5">
        <v>50</v>
      </c>
      <c r="M5" s="5">
        <v>75</v>
      </c>
      <c r="N5" s="5">
        <v>100</v>
      </c>
      <c r="O5" s="5">
        <v>250</v>
      </c>
      <c r="P5" s="5">
        <v>3</v>
      </c>
      <c r="Q5" s="5">
        <v>3.6</v>
      </c>
      <c r="R5" s="5">
        <v>4</v>
      </c>
      <c r="S5" s="5">
        <v>5</v>
      </c>
      <c r="T5" s="5">
        <v>6</v>
      </c>
      <c r="U5" s="5">
        <v>7</v>
      </c>
      <c r="V5" s="5">
        <v>7.5</v>
      </c>
      <c r="W5" s="5">
        <v>8</v>
      </c>
      <c r="X5" s="5">
        <v>9</v>
      </c>
      <c r="Y5" s="5">
        <v>10</v>
      </c>
      <c r="Z5" s="5">
        <v>10.5</v>
      </c>
      <c r="AA5" s="5">
        <v>10</v>
      </c>
      <c r="AB5" s="5">
        <v>12</v>
      </c>
      <c r="AC5" s="5">
        <v>15</v>
      </c>
      <c r="AD5" s="5">
        <v>18</v>
      </c>
      <c r="AE5" s="5">
        <v>20</v>
      </c>
      <c r="AF5" s="5">
        <v>25</v>
      </c>
      <c r="AG5" s="5">
        <v>30</v>
      </c>
      <c r="AH5" s="5">
        <v>35</v>
      </c>
      <c r="AI5" s="5">
        <v>40</v>
      </c>
      <c r="AJ5" s="5">
        <v>45</v>
      </c>
      <c r="AK5" s="5">
        <v>50</v>
      </c>
      <c r="AL5" s="5">
        <v>60</v>
      </c>
      <c r="AM5" s="5">
        <v>75</v>
      </c>
      <c r="AN5" s="5">
        <v>75</v>
      </c>
      <c r="AO5" s="5">
        <v>75</v>
      </c>
      <c r="AP5" s="5">
        <v>75</v>
      </c>
      <c r="AQ5" s="5">
        <v>90</v>
      </c>
      <c r="AR5" s="5">
        <v>100</v>
      </c>
      <c r="AS5" s="5">
        <v>110</v>
      </c>
      <c r="AT5" s="5">
        <v>10</v>
      </c>
      <c r="AU5" s="5">
        <v>12</v>
      </c>
      <c r="AV5" s="5">
        <v>15</v>
      </c>
      <c r="AW5" s="5">
        <v>20</v>
      </c>
      <c r="AX5" s="5">
        <v>25</v>
      </c>
      <c r="AY5" s="5">
        <v>30</v>
      </c>
      <c r="AZ5" s="5">
        <v>35</v>
      </c>
      <c r="BA5" s="5">
        <v>40</v>
      </c>
      <c r="BB5" s="5">
        <v>45</v>
      </c>
      <c r="BC5" s="5">
        <v>50</v>
      </c>
      <c r="BD5" s="5">
        <v>3.6</v>
      </c>
      <c r="BE5" s="5">
        <v>5</v>
      </c>
      <c r="BF5" s="5">
        <v>5</v>
      </c>
      <c r="BG5" s="5">
        <v>8</v>
      </c>
      <c r="BH5" s="5">
        <v>8</v>
      </c>
      <c r="BI5" s="5">
        <v>12</v>
      </c>
      <c r="BJ5" s="5">
        <v>12</v>
      </c>
      <c r="BK5" s="5">
        <v>35</v>
      </c>
      <c r="BL5" s="5">
        <v>50</v>
      </c>
      <c r="BM5" s="5">
        <v>3.6</v>
      </c>
      <c r="BN5" s="5">
        <v>5</v>
      </c>
      <c r="BO5" s="5">
        <v>6</v>
      </c>
      <c r="BP5" s="5">
        <v>7</v>
      </c>
      <c r="BQ5" s="5">
        <v>8</v>
      </c>
      <c r="BR5" s="5">
        <v>10</v>
      </c>
      <c r="BS5" s="5">
        <v>15</v>
      </c>
      <c r="BT5" s="5">
        <v>17</v>
      </c>
      <c r="BU5" s="5">
        <v>20</v>
      </c>
      <c r="BV5" s="5">
        <v>23</v>
      </c>
      <c r="BW5" s="5">
        <v>25</v>
      </c>
      <c r="BX5" s="5">
        <v>75</v>
      </c>
      <c r="BY5" s="5">
        <v>100</v>
      </c>
      <c r="BZ5" s="5">
        <v>110</v>
      </c>
      <c r="CA5" s="5">
        <v>10</v>
      </c>
      <c r="CB5" s="5">
        <v>12</v>
      </c>
      <c r="CC5" s="5">
        <v>15</v>
      </c>
      <c r="CD5" s="5">
        <v>40</v>
      </c>
      <c r="CE5" s="5">
        <v>45</v>
      </c>
      <c r="CF5" s="5">
        <v>50</v>
      </c>
      <c r="CG5" s="5">
        <v>60</v>
      </c>
      <c r="CH5" s="5">
        <v>70</v>
      </c>
      <c r="CI5" s="5">
        <v>75</v>
      </c>
    </row>
    <row r="6" spans="1:87" x14ac:dyDescent="0.25">
      <c r="A6" t="s">
        <v>37</v>
      </c>
      <c r="B6" s="96"/>
      <c r="C6" t="s">
        <v>698</v>
      </c>
      <c r="D6" t="s">
        <v>698</v>
      </c>
      <c r="E6" t="s">
        <v>698</v>
      </c>
      <c r="F6" t="s">
        <v>698</v>
      </c>
      <c r="G6" t="s">
        <v>698</v>
      </c>
      <c r="H6" t="s">
        <v>698</v>
      </c>
      <c r="I6" t="s">
        <v>698</v>
      </c>
      <c r="J6" t="s">
        <v>698</v>
      </c>
      <c r="K6" t="s">
        <v>698</v>
      </c>
      <c r="L6" t="s">
        <v>698</v>
      </c>
      <c r="M6" t="s">
        <v>698</v>
      </c>
      <c r="N6" t="s">
        <v>698</v>
      </c>
      <c r="O6" t="s">
        <v>698</v>
      </c>
      <c r="P6" s="5">
        <v>3.9</v>
      </c>
      <c r="Q6" s="5">
        <v>4.7</v>
      </c>
      <c r="R6" s="5">
        <f>R5*1.3</f>
        <v>5.2</v>
      </c>
      <c r="S6" s="5">
        <v>6.5</v>
      </c>
      <c r="T6" s="5">
        <v>7.8</v>
      </c>
      <c r="U6" s="5">
        <v>9.1</v>
      </c>
      <c r="V6" s="5">
        <v>9.8000000000000007</v>
      </c>
      <c r="W6" s="5">
        <v>10.4</v>
      </c>
      <c r="X6" s="5">
        <v>11.7</v>
      </c>
      <c r="Y6" s="5">
        <v>13</v>
      </c>
      <c r="Z6" s="5">
        <v>13.7</v>
      </c>
      <c r="AA6" s="5">
        <v>13</v>
      </c>
      <c r="AB6" s="5">
        <v>15.6</v>
      </c>
      <c r="AC6" s="5">
        <v>18</v>
      </c>
      <c r="AD6" s="5">
        <v>23.4</v>
      </c>
      <c r="AE6" s="5">
        <v>26</v>
      </c>
      <c r="AF6" s="5">
        <v>32.5</v>
      </c>
      <c r="AG6" s="5">
        <v>36</v>
      </c>
      <c r="AH6" s="5">
        <v>45.5</v>
      </c>
      <c r="AI6" s="5">
        <v>52</v>
      </c>
      <c r="AJ6" s="5">
        <f>AJ5*1.3</f>
        <v>58.5</v>
      </c>
      <c r="AK6" s="5">
        <v>65</v>
      </c>
      <c r="AL6" s="5">
        <v>78</v>
      </c>
      <c r="AM6" s="5">
        <v>97.5</v>
      </c>
      <c r="AN6" s="5">
        <v>112.5</v>
      </c>
      <c r="AO6" s="5">
        <v>112.5</v>
      </c>
      <c r="AP6" s="5">
        <v>150</v>
      </c>
      <c r="AQ6" s="5">
        <v>135</v>
      </c>
      <c r="AR6" s="5">
        <v>150</v>
      </c>
      <c r="AS6" s="5">
        <v>150</v>
      </c>
      <c r="AT6" s="5">
        <v>13</v>
      </c>
      <c r="AU6" s="5">
        <f>AU5*1.3</f>
        <v>15.600000000000001</v>
      </c>
      <c r="AV6" s="5">
        <f t="shared" ref="AV6:BA6" si="0">AV5*1.3</f>
        <v>19.5</v>
      </c>
      <c r="AW6" s="5">
        <f t="shared" si="0"/>
        <v>26</v>
      </c>
      <c r="AX6" s="5">
        <f t="shared" si="0"/>
        <v>32.5</v>
      </c>
      <c r="AY6" s="5">
        <f t="shared" si="0"/>
        <v>39</v>
      </c>
      <c r="AZ6" s="5">
        <f t="shared" si="0"/>
        <v>45.5</v>
      </c>
      <c r="BA6" s="5">
        <f t="shared" si="0"/>
        <v>52</v>
      </c>
      <c r="BB6" s="5">
        <v>58.5</v>
      </c>
      <c r="BC6" s="5">
        <f t="shared" ref="BC6" si="1">BC5*1.3</f>
        <v>65</v>
      </c>
      <c r="BD6" s="5">
        <v>4.68</v>
      </c>
      <c r="BE6" s="5">
        <v>6.5</v>
      </c>
      <c r="BF6" s="5">
        <v>6.5</v>
      </c>
      <c r="BG6" s="5">
        <v>10.4</v>
      </c>
      <c r="BH6" s="5">
        <v>10.4</v>
      </c>
      <c r="BI6" s="5">
        <v>15.6</v>
      </c>
      <c r="BJ6" s="5">
        <v>15.6</v>
      </c>
      <c r="BK6" s="5">
        <v>45.5</v>
      </c>
      <c r="BL6" s="5">
        <v>65</v>
      </c>
      <c r="BM6" s="5">
        <v>5.4</v>
      </c>
      <c r="BN6" s="5">
        <v>7.5</v>
      </c>
      <c r="BO6" s="5">
        <v>9</v>
      </c>
      <c r="BP6" s="5">
        <v>10.5</v>
      </c>
      <c r="BQ6" s="5">
        <v>12</v>
      </c>
      <c r="BR6" s="5">
        <v>15</v>
      </c>
      <c r="BS6" s="5">
        <v>22.5</v>
      </c>
      <c r="BT6" s="5">
        <v>25.5</v>
      </c>
      <c r="BU6" s="5">
        <v>30</v>
      </c>
      <c r="BV6" s="5">
        <v>34.5</v>
      </c>
      <c r="BW6" s="5">
        <v>37.5</v>
      </c>
      <c r="BX6" s="5">
        <v>112.5</v>
      </c>
      <c r="BY6" s="5">
        <v>150</v>
      </c>
      <c r="BZ6" s="5">
        <v>165</v>
      </c>
      <c r="CA6" s="5">
        <v>15</v>
      </c>
      <c r="CB6" s="5">
        <v>18</v>
      </c>
      <c r="CC6" s="5">
        <v>22.5</v>
      </c>
      <c r="CD6" s="5">
        <v>60</v>
      </c>
      <c r="CE6" s="5">
        <v>67.5</v>
      </c>
      <c r="CF6" s="5">
        <v>75</v>
      </c>
      <c r="CG6" s="5">
        <v>90</v>
      </c>
      <c r="CH6" s="5">
        <v>105</v>
      </c>
      <c r="CI6" s="5">
        <v>112.5</v>
      </c>
    </row>
    <row r="7" spans="1:87" x14ac:dyDescent="0.25">
      <c r="A7" t="s">
        <v>38</v>
      </c>
      <c r="B7" s="96"/>
      <c r="C7" s="5">
        <v>600</v>
      </c>
      <c r="D7" s="5">
        <v>600</v>
      </c>
      <c r="E7" s="5">
        <v>600</v>
      </c>
      <c r="F7" s="5">
        <v>600</v>
      </c>
      <c r="G7" s="5">
        <v>1000</v>
      </c>
      <c r="H7" s="5">
        <v>1000</v>
      </c>
      <c r="I7" s="5">
        <v>750</v>
      </c>
      <c r="J7" s="5">
        <v>1000</v>
      </c>
      <c r="K7" s="5">
        <v>1000</v>
      </c>
      <c r="L7" s="5">
        <v>1000</v>
      </c>
      <c r="M7" s="5">
        <v>1000</v>
      </c>
      <c r="N7" s="5">
        <v>1000</v>
      </c>
      <c r="O7" s="5">
        <v>1500</v>
      </c>
      <c r="P7" s="5">
        <v>550</v>
      </c>
      <c r="Q7" s="5">
        <v>550</v>
      </c>
      <c r="R7" s="5">
        <v>550</v>
      </c>
      <c r="S7" s="5">
        <v>550</v>
      </c>
      <c r="T7" s="5">
        <v>550</v>
      </c>
      <c r="U7" s="5">
        <v>550</v>
      </c>
      <c r="V7" s="5">
        <v>550</v>
      </c>
      <c r="W7" s="5">
        <v>550</v>
      </c>
      <c r="X7" s="5">
        <v>550</v>
      </c>
      <c r="Y7" s="5">
        <v>550</v>
      </c>
      <c r="Z7" s="5">
        <v>550</v>
      </c>
      <c r="AA7" s="5">
        <v>1000</v>
      </c>
      <c r="AB7" s="5">
        <v>1000</v>
      </c>
      <c r="AC7" s="5">
        <v>1000</v>
      </c>
      <c r="AD7" s="5">
        <v>1000</v>
      </c>
      <c r="AE7" s="5">
        <v>1000</v>
      </c>
      <c r="AF7" s="5">
        <v>1000</v>
      </c>
      <c r="AG7" s="5">
        <v>1000</v>
      </c>
      <c r="AH7" s="5">
        <v>1000</v>
      </c>
      <c r="AI7" s="5">
        <v>1000</v>
      </c>
      <c r="AJ7" s="5">
        <v>1000</v>
      </c>
      <c r="AK7" s="5">
        <v>1000</v>
      </c>
      <c r="AL7" s="5">
        <v>1000</v>
      </c>
      <c r="AM7" s="5">
        <v>1000</v>
      </c>
      <c r="AN7" s="5">
        <v>1000</v>
      </c>
      <c r="AO7" s="5">
        <v>1000</v>
      </c>
      <c r="AP7" s="5">
        <v>1000</v>
      </c>
      <c r="AQ7" s="5">
        <v>1000</v>
      </c>
      <c r="AR7" s="5">
        <v>1000</v>
      </c>
      <c r="AS7" s="5">
        <v>1000</v>
      </c>
      <c r="AT7" s="5">
        <v>800</v>
      </c>
      <c r="AU7" s="5">
        <v>800</v>
      </c>
      <c r="AV7" s="5">
        <v>800</v>
      </c>
      <c r="AW7" s="5">
        <v>800</v>
      </c>
      <c r="AX7" s="5">
        <v>800</v>
      </c>
      <c r="AY7" s="5">
        <v>800</v>
      </c>
      <c r="AZ7" s="5">
        <v>800</v>
      </c>
      <c r="BA7" s="5">
        <v>800</v>
      </c>
      <c r="BB7" s="5">
        <v>800</v>
      </c>
      <c r="BC7" s="5">
        <v>800</v>
      </c>
      <c r="BD7" s="5">
        <v>500</v>
      </c>
      <c r="BE7" s="5">
        <v>500</v>
      </c>
      <c r="BF7" s="5">
        <v>500</v>
      </c>
      <c r="BG7" s="5">
        <v>500</v>
      </c>
      <c r="BH7" s="5">
        <v>500</v>
      </c>
      <c r="BI7" s="5">
        <v>500</v>
      </c>
      <c r="BJ7" s="5">
        <v>800</v>
      </c>
      <c r="BK7" s="5">
        <v>1000</v>
      </c>
      <c r="BL7" s="5">
        <v>1000</v>
      </c>
      <c r="BM7" s="5">
        <v>550</v>
      </c>
      <c r="BN7" s="5">
        <v>550</v>
      </c>
      <c r="BO7" s="5">
        <v>550</v>
      </c>
      <c r="BP7" s="5">
        <v>600</v>
      </c>
      <c r="BQ7" s="5">
        <v>600</v>
      </c>
      <c r="BR7" s="5">
        <v>600</v>
      </c>
      <c r="BS7" s="5">
        <v>1000</v>
      </c>
      <c r="BT7" s="5">
        <v>1000</v>
      </c>
      <c r="BU7" s="5">
        <v>1000</v>
      </c>
      <c r="BV7" s="5">
        <v>1000</v>
      </c>
      <c r="BW7" s="5">
        <v>1000</v>
      </c>
      <c r="BX7" s="5">
        <v>1000</v>
      </c>
      <c r="BY7" s="5">
        <v>1000</v>
      </c>
      <c r="BZ7" s="5">
        <v>1000</v>
      </c>
      <c r="CA7" s="5">
        <v>800</v>
      </c>
      <c r="CB7" s="5">
        <v>800</v>
      </c>
      <c r="CC7" s="5">
        <v>800</v>
      </c>
      <c r="CD7" s="5">
        <v>800</v>
      </c>
      <c r="CE7" s="5">
        <v>800</v>
      </c>
      <c r="CF7" s="5">
        <v>800</v>
      </c>
      <c r="CG7" s="5">
        <v>800</v>
      </c>
      <c r="CH7" s="5">
        <v>800</v>
      </c>
      <c r="CI7" s="5">
        <v>800</v>
      </c>
    </row>
    <row r="8" spans="1:87" x14ac:dyDescent="0.25">
      <c r="A8" t="s">
        <v>39</v>
      </c>
      <c r="B8" s="96"/>
      <c r="C8" s="5">
        <v>100</v>
      </c>
      <c r="D8" s="5">
        <v>100</v>
      </c>
      <c r="E8" s="5">
        <v>50</v>
      </c>
      <c r="F8" s="5">
        <v>50</v>
      </c>
      <c r="G8" s="5">
        <v>200</v>
      </c>
      <c r="H8" s="5">
        <v>200</v>
      </c>
      <c r="I8" s="5">
        <v>200</v>
      </c>
      <c r="J8" s="5">
        <v>200</v>
      </c>
      <c r="K8" s="5">
        <v>200</v>
      </c>
      <c r="L8" s="5">
        <v>200</v>
      </c>
      <c r="M8" s="5">
        <v>200</v>
      </c>
      <c r="N8" s="5">
        <v>200</v>
      </c>
      <c r="O8" s="5">
        <v>550</v>
      </c>
      <c r="P8" s="5">
        <v>80</v>
      </c>
      <c r="Q8" s="5">
        <v>80</v>
      </c>
      <c r="R8" s="5">
        <v>80</v>
      </c>
      <c r="S8" s="5">
        <v>80</v>
      </c>
      <c r="T8" s="5">
        <v>80</v>
      </c>
      <c r="U8" s="5">
        <v>80</v>
      </c>
      <c r="V8" s="5">
        <v>80</v>
      </c>
      <c r="W8" s="5">
        <v>80</v>
      </c>
      <c r="X8" s="5">
        <v>80</v>
      </c>
      <c r="Y8" s="5">
        <v>80</v>
      </c>
      <c r="Z8" s="5">
        <v>80</v>
      </c>
      <c r="AA8" s="5">
        <v>140</v>
      </c>
      <c r="AB8" s="5">
        <v>250</v>
      </c>
      <c r="AC8" s="5">
        <v>250</v>
      </c>
      <c r="AD8" s="5">
        <v>250</v>
      </c>
      <c r="AE8" s="5">
        <v>250</v>
      </c>
      <c r="AF8" s="5">
        <v>250</v>
      </c>
      <c r="AG8" s="5">
        <v>250</v>
      </c>
      <c r="AH8" s="5">
        <v>250</v>
      </c>
      <c r="AI8" s="5">
        <v>250</v>
      </c>
      <c r="AJ8" s="5">
        <v>250</v>
      </c>
      <c r="AK8" s="5">
        <v>250</v>
      </c>
      <c r="AL8" s="5">
        <v>250</v>
      </c>
      <c r="AM8" s="5">
        <v>250</v>
      </c>
      <c r="AN8" s="5">
        <v>250</v>
      </c>
      <c r="AO8" s="5">
        <v>250</v>
      </c>
      <c r="AP8" s="5">
        <v>250</v>
      </c>
      <c r="AQ8" s="5">
        <v>250</v>
      </c>
      <c r="AR8" s="5">
        <v>250</v>
      </c>
      <c r="AS8" s="5">
        <v>250</v>
      </c>
      <c r="AT8" s="5">
        <v>250</v>
      </c>
      <c r="AU8" s="5">
        <v>250</v>
      </c>
      <c r="AV8" s="5">
        <v>250</v>
      </c>
      <c r="AW8" s="5">
        <v>250</v>
      </c>
      <c r="AX8" s="5">
        <v>250</v>
      </c>
      <c r="AY8" s="5">
        <v>250</v>
      </c>
      <c r="AZ8" s="5">
        <v>250</v>
      </c>
      <c r="BA8" s="5">
        <v>250</v>
      </c>
      <c r="BB8" s="5">
        <v>250</v>
      </c>
      <c r="BC8" s="5">
        <v>250</v>
      </c>
      <c r="BD8" s="5">
        <v>150</v>
      </c>
      <c r="BE8" s="5">
        <v>150</v>
      </c>
      <c r="BF8" s="5">
        <v>150</v>
      </c>
      <c r="BG8" s="5">
        <v>150</v>
      </c>
      <c r="BH8" s="5">
        <v>150</v>
      </c>
      <c r="BI8" s="5">
        <v>150</v>
      </c>
      <c r="BJ8" s="5">
        <v>200</v>
      </c>
      <c r="BK8" s="5">
        <v>180</v>
      </c>
      <c r="BL8" s="5">
        <v>180</v>
      </c>
      <c r="BM8" s="5">
        <v>80</v>
      </c>
      <c r="BN8" s="5">
        <v>80</v>
      </c>
      <c r="BO8" s="5">
        <v>80</v>
      </c>
      <c r="BP8" s="5">
        <v>80</v>
      </c>
      <c r="BQ8" s="5">
        <v>80</v>
      </c>
      <c r="BR8" s="5">
        <v>40</v>
      </c>
      <c r="BS8" s="5">
        <v>200</v>
      </c>
      <c r="BT8" s="5">
        <v>200</v>
      </c>
      <c r="BU8" s="5">
        <v>200</v>
      </c>
      <c r="BV8" s="5">
        <v>200</v>
      </c>
      <c r="BW8" s="5">
        <v>200</v>
      </c>
      <c r="BX8" s="5">
        <v>195</v>
      </c>
      <c r="BY8" s="5">
        <v>195</v>
      </c>
      <c r="BZ8" s="5">
        <v>195</v>
      </c>
      <c r="CA8" s="5">
        <v>200</v>
      </c>
      <c r="CB8" s="5">
        <v>200</v>
      </c>
      <c r="CC8" s="5">
        <v>200</v>
      </c>
      <c r="CD8" s="5">
        <v>195</v>
      </c>
      <c r="CE8" s="5">
        <v>195</v>
      </c>
      <c r="CF8" s="5">
        <v>195</v>
      </c>
      <c r="CG8" s="5">
        <v>195</v>
      </c>
      <c r="CH8" s="5">
        <v>195</v>
      </c>
      <c r="CI8" s="5">
        <v>195</v>
      </c>
    </row>
    <row r="9" spans="1:87" x14ac:dyDescent="0.25">
      <c r="A9" t="s">
        <v>56</v>
      </c>
      <c r="B9" s="96"/>
      <c r="C9" s="5">
        <v>90</v>
      </c>
      <c r="D9" s="5">
        <v>90</v>
      </c>
      <c r="E9" s="5">
        <v>40</v>
      </c>
      <c r="F9" s="5">
        <v>40</v>
      </c>
      <c r="G9" s="5">
        <v>200</v>
      </c>
      <c r="H9" s="5">
        <v>200</v>
      </c>
      <c r="I9" s="5">
        <v>200</v>
      </c>
      <c r="J9" s="5">
        <v>200</v>
      </c>
      <c r="K9" s="5">
        <v>200</v>
      </c>
      <c r="L9" s="5">
        <v>200</v>
      </c>
      <c r="M9" s="5">
        <v>200</v>
      </c>
      <c r="N9" s="5">
        <v>200</v>
      </c>
      <c r="O9" s="5">
        <v>500</v>
      </c>
      <c r="P9" s="5">
        <v>70</v>
      </c>
      <c r="Q9" s="5">
        <v>70</v>
      </c>
      <c r="R9" s="5">
        <v>70</v>
      </c>
      <c r="S9" s="5">
        <v>70</v>
      </c>
      <c r="T9" s="5">
        <v>70</v>
      </c>
      <c r="U9" s="5">
        <v>70</v>
      </c>
      <c r="V9" s="5">
        <v>70</v>
      </c>
      <c r="W9" s="5">
        <v>70</v>
      </c>
      <c r="X9" s="5">
        <v>70</v>
      </c>
      <c r="Y9" s="5">
        <v>70</v>
      </c>
      <c r="Z9" s="5">
        <v>70</v>
      </c>
      <c r="AA9" s="5">
        <v>120</v>
      </c>
      <c r="AB9" s="5">
        <v>200</v>
      </c>
      <c r="AC9" s="5">
        <v>200</v>
      </c>
      <c r="AD9" s="5">
        <v>200</v>
      </c>
      <c r="AE9" s="5">
        <v>200</v>
      </c>
      <c r="AF9" s="5">
        <v>200</v>
      </c>
      <c r="AG9" s="5">
        <v>200</v>
      </c>
      <c r="AH9" s="5">
        <v>200</v>
      </c>
      <c r="AI9" s="5">
        <v>200</v>
      </c>
      <c r="AJ9" s="5">
        <v>200</v>
      </c>
      <c r="AK9" s="5">
        <v>200</v>
      </c>
      <c r="AL9" s="5">
        <v>200</v>
      </c>
      <c r="AM9" s="5">
        <v>200</v>
      </c>
      <c r="AN9" s="5">
        <v>200</v>
      </c>
      <c r="AO9" s="5">
        <v>200</v>
      </c>
      <c r="AP9" s="5">
        <v>200</v>
      </c>
      <c r="AQ9" s="5">
        <v>200</v>
      </c>
      <c r="AR9" s="5">
        <v>200</v>
      </c>
      <c r="AS9" s="5">
        <v>200</v>
      </c>
      <c r="AT9" s="5">
        <v>200</v>
      </c>
      <c r="AU9" s="5">
        <v>200</v>
      </c>
      <c r="AV9" s="5">
        <v>200</v>
      </c>
      <c r="AW9" s="5">
        <v>200</v>
      </c>
      <c r="AX9" s="5">
        <v>200</v>
      </c>
      <c r="AY9" s="5">
        <v>200</v>
      </c>
      <c r="AZ9" s="5">
        <v>200</v>
      </c>
      <c r="BA9" s="5">
        <v>200</v>
      </c>
      <c r="BB9" s="5">
        <v>200</v>
      </c>
      <c r="BC9" s="5">
        <v>200</v>
      </c>
      <c r="BD9" s="5">
        <v>125</v>
      </c>
      <c r="BE9" s="5">
        <v>125</v>
      </c>
      <c r="BF9" s="5">
        <v>125</v>
      </c>
      <c r="BG9" s="5">
        <v>125</v>
      </c>
      <c r="BH9" s="5">
        <v>125</v>
      </c>
      <c r="BI9" s="5">
        <v>150</v>
      </c>
      <c r="BJ9" s="5">
        <v>160</v>
      </c>
      <c r="BK9" s="5">
        <v>150</v>
      </c>
      <c r="BL9" s="5">
        <v>150</v>
      </c>
      <c r="BM9" s="5">
        <v>80</v>
      </c>
      <c r="BN9" s="5">
        <v>80</v>
      </c>
      <c r="BO9" s="5">
        <v>80</v>
      </c>
      <c r="BP9" s="5">
        <v>80</v>
      </c>
      <c r="BQ9" s="5">
        <v>80</v>
      </c>
      <c r="BR9" s="5">
        <v>50</v>
      </c>
      <c r="BS9" s="5">
        <v>200</v>
      </c>
      <c r="BT9" s="5">
        <v>200</v>
      </c>
      <c r="BU9" s="5">
        <v>200</v>
      </c>
      <c r="BV9" s="5">
        <v>200</v>
      </c>
      <c r="BW9" s="5">
        <v>200</v>
      </c>
      <c r="BX9" s="5">
        <v>180</v>
      </c>
      <c r="BY9" s="5">
        <v>180</v>
      </c>
      <c r="BZ9" s="5">
        <v>180</v>
      </c>
      <c r="CA9" s="5">
        <v>200</v>
      </c>
      <c r="CB9" s="5">
        <v>200</v>
      </c>
      <c r="CC9" s="5">
        <v>200</v>
      </c>
      <c r="CD9" s="5">
        <v>180</v>
      </c>
      <c r="CE9" s="5">
        <v>180</v>
      </c>
      <c r="CF9" s="5">
        <v>180</v>
      </c>
      <c r="CG9" s="5">
        <v>180</v>
      </c>
      <c r="CH9" s="5">
        <v>180</v>
      </c>
      <c r="CI9" s="5">
        <v>180</v>
      </c>
    </row>
    <row r="10" spans="1:87" x14ac:dyDescent="0.25">
      <c r="A10" t="s">
        <v>42</v>
      </c>
      <c r="B10" s="96"/>
      <c r="C10" s="5">
        <v>560</v>
      </c>
      <c r="D10" s="5">
        <v>560</v>
      </c>
      <c r="E10" s="5">
        <v>560</v>
      </c>
      <c r="F10" s="5">
        <v>560</v>
      </c>
      <c r="G10" s="5">
        <v>1000</v>
      </c>
      <c r="H10" s="5">
        <v>1000</v>
      </c>
      <c r="I10" s="5">
        <v>750</v>
      </c>
      <c r="J10" s="5">
        <v>1000</v>
      </c>
      <c r="K10" s="5">
        <v>1000</v>
      </c>
      <c r="L10" s="5">
        <v>1000</v>
      </c>
      <c r="M10" s="5">
        <v>1000</v>
      </c>
      <c r="N10" s="5">
        <v>1000</v>
      </c>
      <c r="O10" s="5">
        <v>1500</v>
      </c>
      <c r="P10" s="5">
        <v>500</v>
      </c>
      <c r="Q10" s="5">
        <v>500</v>
      </c>
      <c r="R10" s="5">
        <v>500</v>
      </c>
      <c r="S10" s="5">
        <v>500</v>
      </c>
      <c r="T10" s="5">
        <v>500</v>
      </c>
      <c r="U10" s="5">
        <v>500</v>
      </c>
      <c r="V10" s="5">
        <v>500</v>
      </c>
      <c r="W10" s="5">
        <v>500</v>
      </c>
      <c r="X10" s="5">
        <v>550</v>
      </c>
      <c r="Y10" s="5">
        <v>550</v>
      </c>
      <c r="Z10" s="5">
        <v>550</v>
      </c>
      <c r="AA10" s="5">
        <v>850</v>
      </c>
      <c r="AB10" s="5">
        <v>800</v>
      </c>
      <c r="AC10" s="5">
        <v>800</v>
      </c>
      <c r="AD10" s="5">
        <v>800</v>
      </c>
      <c r="AE10" s="5">
        <v>850</v>
      </c>
      <c r="AF10" s="5">
        <v>850</v>
      </c>
      <c r="AG10" s="5">
        <v>850</v>
      </c>
      <c r="AH10" s="5">
        <v>850</v>
      </c>
      <c r="AI10" s="5">
        <v>850</v>
      </c>
      <c r="AJ10" s="5">
        <v>850</v>
      </c>
      <c r="AK10" s="5">
        <v>850</v>
      </c>
      <c r="AL10" s="5">
        <v>850</v>
      </c>
      <c r="AM10" s="5">
        <v>850</v>
      </c>
      <c r="AN10" s="5">
        <v>850</v>
      </c>
      <c r="AO10" s="5">
        <v>850</v>
      </c>
      <c r="AP10" s="5">
        <v>850</v>
      </c>
      <c r="AQ10" s="5">
        <v>850</v>
      </c>
      <c r="AR10" s="5">
        <v>850</v>
      </c>
      <c r="AS10" s="5">
        <v>850</v>
      </c>
      <c r="AT10" s="5">
        <v>700</v>
      </c>
      <c r="AU10" s="5">
        <v>700</v>
      </c>
      <c r="AV10" s="5">
        <v>700</v>
      </c>
      <c r="AW10" s="5">
        <v>700</v>
      </c>
      <c r="AX10" s="5">
        <v>700</v>
      </c>
      <c r="AY10" s="5">
        <v>700</v>
      </c>
      <c r="AZ10" s="5">
        <v>700</v>
      </c>
      <c r="BA10" s="5">
        <v>700</v>
      </c>
      <c r="BB10" s="5">
        <v>700</v>
      </c>
      <c r="BC10" s="5">
        <v>700</v>
      </c>
      <c r="BD10" s="5">
        <v>425</v>
      </c>
      <c r="BE10" s="5">
        <v>425</v>
      </c>
      <c r="BF10" s="5">
        <v>425</v>
      </c>
      <c r="BG10" s="5">
        <v>425</v>
      </c>
      <c r="BH10" s="5">
        <v>425</v>
      </c>
      <c r="BI10" s="5">
        <v>425</v>
      </c>
      <c r="BJ10" s="5">
        <v>650</v>
      </c>
      <c r="BK10" s="5">
        <v>850</v>
      </c>
      <c r="BL10" s="5">
        <v>850</v>
      </c>
      <c r="BM10" s="5">
        <v>520</v>
      </c>
      <c r="BN10" s="5">
        <v>520</v>
      </c>
      <c r="BO10" s="5">
        <v>520</v>
      </c>
      <c r="BP10" s="5">
        <v>550</v>
      </c>
      <c r="BQ10" s="5">
        <v>550</v>
      </c>
      <c r="BR10" s="5">
        <v>550</v>
      </c>
      <c r="BS10" s="5">
        <v>1000</v>
      </c>
      <c r="BT10" s="5">
        <v>1000</v>
      </c>
      <c r="BU10" s="5">
        <v>1000</v>
      </c>
      <c r="BV10" s="5">
        <v>1000</v>
      </c>
      <c r="BW10" s="5">
        <v>1000</v>
      </c>
      <c r="BX10" s="5">
        <v>1000</v>
      </c>
      <c r="BY10" s="5">
        <v>1000</v>
      </c>
      <c r="BZ10" s="5">
        <v>1000</v>
      </c>
      <c r="CA10" s="5">
        <v>650</v>
      </c>
      <c r="CB10" s="5">
        <v>650</v>
      </c>
      <c r="CC10" s="5">
        <v>650</v>
      </c>
      <c r="CD10" s="5">
        <v>800</v>
      </c>
      <c r="CE10" s="5">
        <v>800</v>
      </c>
      <c r="CF10" s="5">
        <v>800</v>
      </c>
      <c r="CG10" s="5">
        <v>800</v>
      </c>
      <c r="CH10" s="5">
        <v>800</v>
      </c>
      <c r="CI10" s="5">
        <v>800</v>
      </c>
    </row>
    <row r="11" spans="1:87" x14ac:dyDescent="0.25">
      <c r="A11" t="s">
        <v>611</v>
      </c>
      <c r="B11" s="96"/>
      <c r="C11" s="5">
        <v>360</v>
      </c>
      <c r="D11" s="5">
        <v>360</v>
      </c>
      <c r="E11" s="5">
        <v>360</v>
      </c>
      <c r="F11" s="5">
        <v>360</v>
      </c>
      <c r="G11" s="5">
        <v>600</v>
      </c>
      <c r="H11" s="5">
        <v>600</v>
      </c>
      <c r="I11" s="5">
        <v>360</v>
      </c>
      <c r="J11" s="5">
        <v>600</v>
      </c>
      <c r="K11" s="5">
        <v>600</v>
      </c>
      <c r="L11" s="5">
        <v>600</v>
      </c>
      <c r="M11" s="5">
        <v>600</v>
      </c>
      <c r="N11" s="5">
        <v>600</v>
      </c>
      <c r="O11" s="5">
        <v>1080</v>
      </c>
      <c r="P11" s="5">
        <v>300</v>
      </c>
      <c r="Q11" s="5">
        <v>300</v>
      </c>
      <c r="R11" s="5">
        <v>300</v>
      </c>
      <c r="S11" s="5">
        <v>300</v>
      </c>
      <c r="T11" s="5">
        <v>300</v>
      </c>
      <c r="U11" s="5">
        <v>300</v>
      </c>
      <c r="V11" s="5">
        <v>300</v>
      </c>
      <c r="W11" s="5">
        <v>300</v>
      </c>
      <c r="X11" s="5">
        <v>300</v>
      </c>
      <c r="Y11" s="5">
        <v>300</v>
      </c>
      <c r="Z11" s="5">
        <v>300</v>
      </c>
      <c r="AA11" s="5">
        <v>660</v>
      </c>
      <c r="AB11" s="5">
        <v>660</v>
      </c>
      <c r="AC11" s="5">
        <v>660</v>
      </c>
      <c r="AD11" s="5">
        <v>660</v>
      </c>
      <c r="AE11" s="5">
        <v>660</v>
      </c>
      <c r="AF11" s="5">
        <v>660</v>
      </c>
      <c r="AG11" s="5">
        <v>660</v>
      </c>
      <c r="AH11" s="5">
        <v>660</v>
      </c>
      <c r="AI11" s="5">
        <v>660</v>
      </c>
      <c r="AJ11" s="5">
        <v>660</v>
      </c>
      <c r="AK11" s="5">
        <v>660</v>
      </c>
      <c r="AL11" s="5">
        <v>660</v>
      </c>
      <c r="AM11" s="5">
        <v>660</v>
      </c>
      <c r="AN11" s="11">
        <v>660</v>
      </c>
      <c r="AO11" s="11">
        <v>660</v>
      </c>
      <c r="AP11" s="11">
        <v>660</v>
      </c>
      <c r="AQ11" s="5">
        <v>660</v>
      </c>
      <c r="AR11" s="5">
        <v>660</v>
      </c>
      <c r="AS11" s="5">
        <v>660</v>
      </c>
      <c r="AT11" s="5">
        <v>360</v>
      </c>
      <c r="AU11" s="5">
        <v>360</v>
      </c>
      <c r="AV11" s="5">
        <v>360</v>
      </c>
      <c r="AW11" s="5">
        <v>360</v>
      </c>
      <c r="AX11" s="5">
        <v>360</v>
      </c>
      <c r="AY11" s="5">
        <v>360</v>
      </c>
      <c r="AZ11" s="5">
        <v>360</v>
      </c>
      <c r="BA11" s="5">
        <v>360</v>
      </c>
      <c r="BB11" s="5">
        <v>360</v>
      </c>
      <c r="BC11" s="5">
        <v>360</v>
      </c>
      <c r="BD11" s="5">
        <v>350</v>
      </c>
      <c r="BE11" s="5">
        <v>350</v>
      </c>
      <c r="BF11" s="5">
        <v>350</v>
      </c>
      <c r="BG11" s="5">
        <v>350</v>
      </c>
      <c r="BH11" s="5">
        <v>350</v>
      </c>
      <c r="BI11" s="5">
        <v>350</v>
      </c>
      <c r="BJ11" s="5">
        <v>550</v>
      </c>
      <c r="BK11" s="5">
        <v>600</v>
      </c>
      <c r="BL11" s="5">
        <v>600</v>
      </c>
      <c r="BM11" s="5">
        <v>380</v>
      </c>
      <c r="BN11" s="5">
        <v>380</v>
      </c>
      <c r="BO11" s="5">
        <v>380</v>
      </c>
      <c r="BP11" s="5">
        <v>380</v>
      </c>
      <c r="BQ11" s="5">
        <v>380</v>
      </c>
      <c r="BR11" s="5">
        <v>380</v>
      </c>
      <c r="BS11" s="5">
        <v>620</v>
      </c>
      <c r="BT11" s="5">
        <v>620</v>
      </c>
      <c r="BU11" s="5">
        <v>620</v>
      </c>
      <c r="BV11" s="5">
        <v>620</v>
      </c>
      <c r="BW11" s="5">
        <v>620</v>
      </c>
      <c r="BX11" s="5">
        <v>620</v>
      </c>
      <c r="BY11" s="5">
        <v>620</v>
      </c>
      <c r="BZ11" s="5">
        <v>620</v>
      </c>
      <c r="CA11" s="5">
        <v>360</v>
      </c>
      <c r="CB11" s="5">
        <v>360</v>
      </c>
      <c r="CC11" s="5">
        <v>360</v>
      </c>
      <c r="CD11" s="5">
        <v>420</v>
      </c>
      <c r="CE11" s="5">
        <v>420</v>
      </c>
      <c r="CF11" s="5">
        <v>420</v>
      </c>
      <c r="CG11" s="5">
        <v>420</v>
      </c>
      <c r="CH11" s="5">
        <v>420</v>
      </c>
      <c r="CI11" s="5">
        <v>420</v>
      </c>
    </row>
    <row r="12" spans="1:87" x14ac:dyDescent="0.25">
      <c r="A12" t="s">
        <v>40</v>
      </c>
      <c r="B12" s="96"/>
      <c r="C12" s="5">
        <v>2</v>
      </c>
      <c r="D12" s="5">
        <v>2</v>
      </c>
      <c r="E12" s="5">
        <v>3</v>
      </c>
      <c r="F12" s="5">
        <v>3</v>
      </c>
      <c r="G12" s="5">
        <v>2</v>
      </c>
      <c r="H12" s="5">
        <v>2</v>
      </c>
      <c r="I12" s="5">
        <v>4</v>
      </c>
      <c r="J12" s="5">
        <v>4</v>
      </c>
      <c r="K12" s="5">
        <v>4</v>
      </c>
      <c r="L12" s="5">
        <v>4</v>
      </c>
      <c r="M12" s="5">
        <v>10</v>
      </c>
      <c r="N12" s="5">
        <v>10</v>
      </c>
      <c r="O12" s="5">
        <v>6</v>
      </c>
      <c r="P12" s="5">
        <v>1</v>
      </c>
      <c r="Q12" s="5">
        <v>2</v>
      </c>
      <c r="R12" s="5">
        <v>2</v>
      </c>
      <c r="S12" s="5">
        <v>2</v>
      </c>
      <c r="T12" s="5">
        <v>2</v>
      </c>
      <c r="U12" s="5">
        <v>2</v>
      </c>
      <c r="V12" s="5">
        <v>2</v>
      </c>
      <c r="W12" s="5">
        <v>2</v>
      </c>
      <c r="X12" s="5">
        <v>2</v>
      </c>
      <c r="Y12" s="5">
        <v>2</v>
      </c>
      <c r="Z12" s="5">
        <v>2</v>
      </c>
      <c r="AA12" s="5">
        <v>2</v>
      </c>
      <c r="AB12" s="5">
        <v>2</v>
      </c>
      <c r="AC12" s="5">
        <v>2</v>
      </c>
      <c r="AD12" s="5">
        <v>2</v>
      </c>
      <c r="AE12" s="5">
        <v>2</v>
      </c>
      <c r="AF12" s="5">
        <v>2</v>
      </c>
      <c r="AG12" s="5">
        <v>2</v>
      </c>
      <c r="AH12" s="5">
        <v>2</v>
      </c>
      <c r="AI12" s="5">
        <v>3</v>
      </c>
      <c r="AJ12" s="5">
        <v>3</v>
      </c>
      <c r="AK12" s="5">
        <v>4</v>
      </c>
      <c r="AL12" s="5">
        <v>4</v>
      </c>
      <c r="AM12" s="5">
        <v>4</v>
      </c>
      <c r="AN12" s="5">
        <v>4</v>
      </c>
      <c r="AO12" s="5">
        <v>6</v>
      </c>
      <c r="AP12" s="5">
        <v>6</v>
      </c>
      <c r="AQ12" s="5">
        <v>6</v>
      </c>
      <c r="AR12" s="5">
        <v>6</v>
      </c>
      <c r="AS12" s="5">
        <v>6</v>
      </c>
      <c r="AT12" s="5">
        <v>2</v>
      </c>
      <c r="AU12" s="5">
        <v>2</v>
      </c>
      <c r="AV12" s="5">
        <v>2</v>
      </c>
      <c r="AW12" s="5">
        <v>2</v>
      </c>
      <c r="AX12" s="5">
        <v>3</v>
      </c>
      <c r="AY12" s="5">
        <v>4</v>
      </c>
      <c r="AZ12" s="5">
        <v>4</v>
      </c>
      <c r="BA12" s="5">
        <v>4</v>
      </c>
      <c r="BB12" s="5">
        <v>4</v>
      </c>
      <c r="BC12" s="5">
        <v>4</v>
      </c>
      <c r="BD12" s="5">
        <v>2</v>
      </c>
      <c r="BE12" s="5">
        <v>2</v>
      </c>
      <c r="BF12" s="5">
        <v>2</v>
      </c>
      <c r="BG12" s="5">
        <v>2</v>
      </c>
      <c r="BH12" s="5">
        <v>2</v>
      </c>
      <c r="BI12" s="5">
        <v>3</v>
      </c>
      <c r="BJ12" s="5">
        <v>2</v>
      </c>
      <c r="BK12" s="5">
        <v>3</v>
      </c>
      <c r="BL12" s="5">
        <v>4</v>
      </c>
      <c r="BM12" s="5">
        <v>2</v>
      </c>
      <c r="BN12" s="5">
        <v>2</v>
      </c>
      <c r="BO12" s="5">
        <v>2</v>
      </c>
      <c r="BP12" s="5">
        <v>2</v>
      </c>
      <c r="BQ12" s="5">
        <v>2</v>
      </c>
      <c r="BR12" s="5">
        <v>2</v>
      </c>
      <c r="BS12" s="5">
        <v>2</v>
      </c>
      <c r="BT12" s="5">
        <v>2</v>
      </c>
      <c r="BU12" s="5">
        <v>2</v>
      </c>
      <c r="BV12" s="5">
        <v>2</v>
      </c>
      <c r="BW12" s="5">
        <v>2</v>
      </c>
      <c r="BX12" s="5">
        <v>6</v>
      </c>
      <c r="BY12" s="5">
        <v>10</v>
      </c>
      <c r="BZ12" s="5">
        <v>10</v>
      </c>
      <c r="CA12" s="5">
        <v>2</v>
      </c>
      <c r="CB12" s="5">
        <v>2</v>
      </c>
      <c r="CC12" s="5">
        <v>2</v>
      </c>
      <c r="CD12" s="5">
        <v>4</v>
      </c>
      <c r="CE12" s="5">
        <v>4</v>
      </c>
      <c r="CF12" s="5">
        <v>4</v>
      </c>
      <c r="CG12" s="5">
        <v>8</v>
      </c>
      <c r="CH12" s="5">
        <v>8</v>
      </c>
      <c r="CI12" s="5">
        <v>8</v>
      </c>
    </row>
    <row r="13" spans="1:87" x14ac:dyDescent="0.25">
      <c r="A13" t="s">
        <v>49</v>
      </c>
      <c r="B13" s="96"/>
      <c r="C13" s="5">
        <v>1</v>
      </c>
      <c r="D13" s="5">
        <v>1</v>
      </c>
      <c r="E13" s="5">
        <v>1</v>
      </c>
      <c r="F13" s="5">
        <v>1</v>
      </c>
      <c r="G13" s="5">
        <v>2</v>
      </c>
      <c r="H13" s="5">
        <v>2</v>
      </c>
      <c r="I13" s="5">
        <v>2</v>
      </c>
      <c r="J13" s="5">
        <v>2</v>
      </c>
      <c r="K13" s="5">
        <v>2</v>
      </c>
      <c r="L13" s="5">
        <v>2</v>
      </c>
      <c r="M13" s="5">
        <v>2</v>
      </c>
      <c r="N13" s="5">
        <v>2</v>
      </c>
      <c r="O13" s="5">
        <v>4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2</v>
      </c>
      <c r="Y13" s="5">
        <v>2</v>
      </c>
      <c r="Z13" s="5">
        <v>2</v>
      </c>
      <c r="AA13" s="5">
        <v>1</v>
      </c>
      <c r="AB13" s="5">
        <v>1</v>
      </c>
      <c r="AC13" s="5">
        <v>1</v>
      </c>
      <c r="AD13" s="5">
        <v>2</v>
      </c>
      <c r="AE13" s="5">
        <v>2</v>
      </c>
      <c r="AF13" s="5">
        <v>3</v>
      </c>
      <c r="AG13" s="5">
        <v>3</v>
      </c>
      <c r="AH13" s="5">
        <v>3</v>
      </c>
      <c r="AI13" s="5">
        <v>3</v>
      </c>
      <c r="AJ13" s="5">
        <v>3</v>
      </c>
      <c r="AK13" s="5">
        <v>3</v>
      </c>
      <c r="AL13" s="5">
        <v>3</v>
      </c>
      <c r="AM13" s="5">
        <v>4</v>
      </c>
      <c r="AN13" s="5">
        <v>4</v>
      </c>
      <c r="AO13" s="5">
        <v>4</v>
      </c>
      <c r="AP13" s="5">
        <v>4</v>
      </c>
      <c r="AQ13" s="5">
        <v>4</v>
      </c>
      <c r="AR13" s="5">
        <v>4</v>
      </c>
      <c r="AS13" s="5">
        <v>4</v>
      </c>
      <c r="AT13" s="5">
        <v>2</v>
      </c>
      <c r="AU13" s="5">
        <v>2</v>
      </c>
      <c r="AV13" s="5">
        <v>3</v>
      </c>
      <c r="AW13" s="5">
        <v>3</v>
      </c>
      <c r="AX13" s="5">
        <v>3</v>
      </c>
      <c r="AY13" s="5">
        <v>3</v>
      </c>
      <c r="AZ13" s="5">
        <v>3</v>
      </c>
      <c r="BA13" s="5">
        <v>4</v>
      </c>
      <c r="BB13" s="5">
        <v>4</v>
      </c>
      <c r="BC13" s="5">
        <v>4</v>
      </c>
      <c r="BD13" s="5">
        <v>1</v>
      </c>
      <c r="BE13" s="5">
        <v>1</v>
      </c>
      <c r="BF13" s="5">
        <v>1</v>
      </c>
      <c r="BG13" s="5">
        <v>2</v>
      </c>
      <c r="BH13" s="5">
        <v>2</v>
      </c>
      <c r="BI13" s="5">
        <v>2</v>
      </c>
      <c r="BJ13" s="5">
        <v>2</v>
      </c>
      <c r="BK13" s="5">
        <v>2</v>
      </c>
      <c r="BL13" s="5">
        <v>2</v>
      </c>
      <c r="BM13" s="5">
        <v>1</v>
      </c>
      <c r="BN13" s="5">
        <v>1</v>
      </c>
      <c r="BO13" s="5">
        <v>1</v>
      </c>
      <c r="BP13" s="5">
        <v>2</v>
      </c>
      <c r="BQ13" s="5">
        <v>2</v>
      </c>
      <c r="BR13" s="5">
        <v>2</v>
      </c>
      <c r="BS13" s="5">
        <v>2</v>
      </c>
      <c r="BT13" s="5">
        <v>2</v>
      </c>
      <c r="BU13" s="5">
        <v>2</v>
      </c>
      <c r="BV13" s="5">
        <v>2</v>
      </c>
      <c r="BW13" s="5">
        <v>2</v>
      </c>
      <c r="BX13" s="5">
        <v>2</v>
      </c>
      <c r="BY13" s="5">
        <v>2</v>
      </c>
      <c r="BZ13" s="5">
        <v>2</v>
      </c>
      <c r="CA13" s="5">
        <v>2</v>
      </c>
      <c r="CB13" s="5">
        <v>2</v>
      </c>
      <c r="CC13" s="5">
        <v>2</v>
      </c>
      <c r="CD13" s="5">
        <v>2</v>
      </c>
      <c r="CE13" s="5">
        <v>2</v>
      </c>
      <c r="CF13" s="5">
        <v>2</v>
      </c>
      <c r="CG13" s="5">
        <v>2</v>
      </c>
      <c r="CH13" s="5">
        <v>2</v>
      </c>
      <c r="CI13" s="5">
        <v>2</v>
      </c>
    </row>
    <row r="14" spans="1:87" x14ac:dyDescent="0.25">
      <c r="A14" s="10" t="s">
        <v>57</v>
      </c>
      <c r="B14" s="96"/>
      <c r="C14" s="5">
        <v>12.5</v>
      </c>
      <c r="D14" s="5">
        <v>12.5</v>
      </c>
      <c r="E14" s="5">
        <v>16</v>
      </c>
      <c r="F14" s="5">
        <v>16</v>
      </c>
      <c r="G14" s="5">
        <v>30</v>
      </c>
      <c r="H14" s="5">
        <v>30</v>
      </c>
      <c r="I14" s="5">
        <v>26</v>
      </c>
      <c r="J14" s="5">
        <v>26</v>
      </c>
      <c r="K14" s="5">
        <v>26</v>
      </c>
      <c r="L14" s="5">
        <v>30</v>
      </c>
      <c r="M14" s="5">
        <v>26</v>
      </c>
      <c r="N14" s="5">
        <v>30</v>
      </c>
      <c r="O14" s="5">
        <v>65</v>
      </c>
      <c r="P14" s="5">
        <v>13</v>
      </c>
      <c r="Q14" s="5">
        <v>13</v>
      </c>
      <c r="R14" s="5">
        <v>13</v>
      </c>
      <c r="S14" s="5">
        <v>13</v>
      </c>
      <c r="T14" s="5">
        <v>13</v>
      </c>
      <c r="U14" s="5">
        <v>13</v>
      </c>
      <c r="V14" s="5">
        <v>13</v>
      </c>
      <c r="W14" s="5">
        <v>13</v>
      </c>
      <c r="X14" s="5">
        <v>26</v>
      </c>
      <c r="Y14" s="5">
        <v>26</v>
      </c>
      <c r="Z14" s="5">
        <v>26</v>
      </c>
      <c r="AA14" s="5">
        <v>13</v>
      </c>
      <c r="AB14" s="5">
        <v>13</v>
      </c>
      <c r="AC14" s="5">
        <v>11</v>
      </c>
      <c r="AD14" s="5">
        <v>32</v>
      </c>
      <c r="AE14" s="5">
        <v>32</v>
      </c>
      <c r="AF14" s="5">
        <v>32</v>
      </c>
      <c r="AG14" s="5">
        <v>33</v>
      </c>
      <c r="AH14" s="5">
        <v>40</v>
      </c>
      <c r="AI14" s="5">
        <v>40</v>
      </c>
      <c r="AJ14" s="5">
        <v>40</v>
      </c>
      <c r="AK14" s="5">
        <v>40</v>
      </c>
      <c r="AL14" s="5">
        <v>40</v>
      </c>
      <c r="AM14" s="5">
        <v>40</v>
      </c>
      <c r="AN14" s="5">
        <v>40</v>
      </c>
      <c r="AO14" s="5">
        <v>40</v>
      </c>
      <c r="AP14" s="5">
        <v>40</v>
      </c>
      <c r="AQ14" s="5">
        <v>40</v>
      </c>
      <c r="AR14" s="5">
        <v>40</v>
      </c>
      <c r="AS14" s="5">
        <v>40</v>
      </c>
      <c r="AT14" s="5">
        <v>32</v>
      </c>
      <c r="AU14" s="5">
        <v>32</v>
      </c>
      <c r="AV14" s="5">
        <v>32</v>
      </c>
      <c r="AW14" s="5">
        <v>40</v>
      </c>
      <c r="AX14" s="5">
        <v>30</v>
      </c>
      <c r="AY14" s="5">
        <v>40</v>
      </c>
      <c r="AZ14" s="5">
        <v>33</v>
      </c>
      <c r="BA14" s="5">
        <v>40</v>
      </c>
      <c r="BB14" s="5">
        <v>40</v>
      </c>
      <c r="BC14" s="5">
        <v>40</v>
      </c>
      <c r="BD14" s="5">
        <v>13</v>
      </c>
      <c r="BE14" s="5">
        <v>13</v>
      </c>
      <c r="BF14" s="5">
        <v>13</v>
      </c>
      <c r="BG14" s="5">
        <v>26</v>
      </c>
      <c r="BH14" s="5">
        <v>26</v>
      </c>
      <c r="BI14" s="5">
        <v>26</v>
      </c>
      <c r="BJ14" s="5">
        <v>26</v>
      </c>
      <c r="BK14" s="5">
        <v>36</v>
      </c>
      <c r="BL14" s="5">
        <v>36</v>
      </c>
      <c r="BM14" s="5">
        <v>16</v>
      </c>
      <c r="BN14" s="5">
        <v>16</v>
      </c>
      <c r="BO14" s="5">
        <v>16</v>
      </c>
      <c r="BP14" s="5">
        <v>27</v>
      </c>
      <c r="BQ14" s="5">
        <v>27</v>
      </c>
      <c r="BR14" s="5">
        <v>32</v>
      </c>
      <c r="BS14" s="5">
        <v>32</v>
      </c>
      <c r="BT14" s="5">
        <v>32</v>
      </c>
      <c r="BU14" s="5">
        <v>32</v>
      </c>
      <c r="BV14" s="5">
        <v>32</v>
      </c>
      <c r="BW14" s="5">
        <v>32</v>
      </c>
      <c r="BX14" s="5">
        <v>32</v>
      </c>
      <c r="BY14" s="5">
        <v>32</v>
      </c>
      <c r="BZ14" s="5">
        <v>32</v>
      </c>
      <c r="CA14" s="5">
        <v>32</v>
      </c>
      <c r="CB14" s="5">
        <v>32</v>
      </c>
      <c r="CC14" s="5">
        <v>32</v>
      </c>
      <c r="CD14" s="5">
        <v>32</v>
      </c>
      <c r="CE14" s="5">
        <v>32</v>
      </c>
      <c r="CF14" s="5">
        <v>32</v>
      </c>
      <c r="CG14" s="5">
        <v>36</v>
      </c>
      <c r="CH14" s="5">
        <v>36</v>
      </c>
      <c r="CI14" s="5">
        <v>36</v>
      </c>
    </row>
    <row r="15" spans="1:87" x14ac:dyDescent="0.25">
      <c r="A15" t="s">
        <v>50</v>
      </c>
      <c r="B15" s="96"/>
      <c r="C15" s="5">
        <v>1</v>
      </c>
      <c r="D15" s="5">
        <v>1</v>
      </c>
      <c r="E15" s="5">
        <v>1</v>
      </c>
      <c r="F15" s="5">
        <v>1</v>
      </c>
      <c r="G15" s="5">
        <v>2</v>
      </c>
      <c r="H15" s="5">
        <v>2</v>
      </c>
      <c r="I15" s="5">
        <v>2</v>
      </c>
      <c r="J15" s="5">
        <v>2</v>
      </c>
      <c r="K15" s="5">
        <v>2</v>
      </c>
      <c r="L15" s="5">
        <v>2</v>
      </c>
      <c r="M15" s="5">
        <v>2</v>
      </c>
      <c r="N15" s="5">
        <v>2</v>
      </c>
      <c r="O15" s="5">
        <v>5</v>
      </c>
      <c r="P15" s="5"/>
      <c r="Q15" s="5">
        <v>1</v>
      </c>
      <c r="R15" s="5">
        <v>1</v>
      </c>
      <c r="S15" s="5">
        <v>1</v>
      </c>
      <c r="T15" s="5">
        <v>1</v>
      </c>
      <c r="U15" s="5">
        <v>2</v>
      </c>
      <c r="V15" s="5">
        <v>2</v>
      </c>
      <c r="W15" s="5">
        <v>2</v>
      </c>
      <c r="X15" s="5">
        <v>2</v>
      </c>
      <c r="Y15" s="5">
        <v>2</v>
      </c>
      <c r="Z15" s="5">
        <v>2</v>
      </c>
      <c r="AA15" s="5">
        <v>1</v>
      </c>
      <c r="AB15" s="5">
        <v>1</v>
      </c>
      <c r="AC15" s="5">
        <v>2</v>
      </c>
      <c r="AD15" s="5">
        <v>2</v>
      </c>
      <c r="AE15" s="5">
        <v>2</v>
      </c>
      <c r="AF15" s="5">
        <v>3</v>
      </c>
      <c r="AG15" s="5">
        <v>3</v>
      </c>
      <c r="AH15" s="5">
        <v>3</v>
      </c>
      <c r="AI15" s="5">
        <v>3</v>
      </c>
      <c r="AJ15" s="5">
        <v>3</v>
      </c>
      <c r="AK15" s="5">
        <v>3</v>
      </c>
      <c r="AL15" s="5">
        <v>3</v>
      </c>
      <c r="AM15" s="5">
        <v>4</v>
      </c>
      <c r="AN15" s="5">
        <v>4</v>
      </c>
      <c r="AO15" s="5">
        <v>4</v>
      </c>
      <c r="AP15" s="5">
        <v>4</v>
      </c>
      <c r="AQ15" s="5">
        <v>4</v>
      </c>
      <c r="AR15" s="5">
        <v>4</v>
      </c>
      <c r="AS15" s="5">
        <v>4</v>
      </c>
      <c r="AT15" s="5">
        <v>2</v>
      </c>
      <c r="AU15" s="5">
        <v>2</v>
      </c>
      <c r="AV15" s="5">
        <v>3</v>
      </c>
      <c r="AW15" s="5">
        <v>3</v>
      </c>
      <c r="AX15" s="5">
        <v>3</v>
      </c>
      <c r="AY15" s="5">
        <v>3</v>
      </c>
      <c r="AZ15" s="5">
        <v>3</v>
      </c>
      <c r="BA15" s="5">
        <v>4</v>
      </c>
      <c r="BB15" s="5">
        <v>4</v>
      </c>
      <c r="BC15" s="5">
        <v>4</v>
      </c>
      <c r="BD15" s="5">
        <v>1</v>
      </c>
      <c r="BE15" s="5">
        <v>1</v>
      </c>
      <c r="BF15" s="5">
        <v>1</v>
      </c>
      <c r="BG15" s="5">
        <v>2</v>
      </c>
      <c r="BH15" s="5">
        <v>2</v>
      </c>
      <c r="BI15" s="5">
        <v>2</v>
      </c>
      <c r="BJ15" s="5">
        <v>1</v>
      </c>
      <c r="BK15" s="5">
        <v>2</v>
      </c>
      <c r="BL15" s="5">
        <v>2</v>
      </c>
      <c r="BM15" s="5">
        <v>1</v>
      </c>
      <c r="BN15" s="5">
        <v>1</v>
      </c>
      <c r="BO15" s="5">
        <v>1</v>
      </c>
      <c r="BP15" s="5">
        <v>1</v>
      </c>
      <c r="BQ15" s="5">
        <v>1</v>
      </c>
      <c r="BR15" s="5">
        <v>1</v>
      </c>
      <c r="BS15" s="5">
        <v>1</v>
      </c>
      <c r="BT15" s="5">
        <v>2</v>
      </c>
      <c r="BU15" s="5">
        <v>2</v>
      </c>
      <c r="BV15" s="5">
        <v>2</v>
      </c>
      <c r="BW15" s="5">
        <v>2</v>
      </c>
      <c r="BX15" s="5">
        <v>2</v>
      </c>
      <c r="BY15" s="5">
        <v>2</v>
      </c>
      <c r="BZ15" s="5">
        <v>2</v>
      </c>
      <c r="CA15" s="5">
        <v>2</v>
      </c>
      <c r="CB15" s="5">
        <v>2</v>
      </c>
      <c r="CC15" s="5">
        <v>2</v>
      </c>
      <c r="CD15" s="5">
        <v>2</v>
      </c>
      <c r="CE15" s="5">
        <v>2</v>
      </c>
      <c r="CF15" s="5">
        <v>2</v>
      </c>
      <c r="CG15" s="5">
        <v>2</v>
      </c>
      <c r="CH15" s="5">
        <v>2</v>
      </c>
      <c r="CI15" s="5">
        <v>2</v>
      </c>
    </row>
    <row r="16" spans="1:87" x14ac:dyDescent="0.25">
      <c r="A16" s="10" t="s">
        <v>58</v>
      </c>
      <c r="B16" s="96"/>
      <c r="C16" s="5">
        <v>12.5</v>
      </c>
      <c r="D16" s="5">
        <v>12.5</v>
      </c>
      <c r="E16" s="5">
        <v>16</v>
      </c>
      <c r="F16" s="5">
        <v>16</v>
      </c>
      <c r="G16" s="5">
        <v>30</v>
      </c>
      <c r="H16" s="5">
        <v>30</v>
      </c>
      <c r="I16" s="5">
        <v>26</v>
      </c>
      <c r="J16" s="5">
        <v>26</v>
      </c>
      <c r="K16" s="5">
        <v>26</v>
      </c>
      <c r="L16" s="5">
        <v>30</v>
      </c>
      <c r="M16" s="5">
        <v>26</v>
      </c>
      <c r="N16" s="5">
        <v>30</v>
      </c>
      <c r="O16" s="5">
        <v>65</v>
      </c>
      <c r="P16" s="5"/>
      <c r="Q16" s="5">
        <v>13</v>
      </c>
      <c r="R16" s="5">
        <v>13</v>
      </c>
      <c r="S16" s="5">
        <v>13</v>
      </c>
      <c r="T16" s="5">
        <v>13</v>
      </c>
      <c r="U16" s="5">
        <v>26</v>
      </c>
      <c r="V16" s="5">
        <v>26</v>
      </c>
      <c r="W16" s="5">
        <v>26</v>
      </c>
      <c r="X16" s="5">
        <v>26</v>
      </c>
      <c r="Y16" s="5">
        <v>26</v>
      </c>
      <c r="Z16" s="5">
        <v>26</v>
      </c>
      <c r="AA16" s="5">
        <v>13</v>
      </c>
      <c r="AB16" s="5">
        <v>13</v>
      </c>
      <c r="AC16" s="5">
        <v>22</v>
      </c>
      <c r="AD16" s="5">
        <v>32</v>
      </c>
      <c r="AE16" s="5">
        <v>32</v>
      </c>
      <c r="AF16" s="5">
        <v>32</v>
      </c>
      <c r="AG16" s="5">
        <v>33</v>
      </c>
      <c r="AH16" s="5">
        <v>40</v>
      </c>
      <c r="AI16" s="5">
        <v>40</v>
      </c>
      <c r="AJ16" s="5">
        <v>40</v>
      </c>
      <c r="AK16" s="5">
        <v>40</v>
      </c>
      <c r="AL16" s="5">
        <v>40</v>
      </c>
      <c r="AM16" s="5">
        <v>40</v>
      </c>
      <c r="AN16" s="5">
        <v>40</v>
      </c>
      <c r="AO16" s="5">
        <v>40</v>
      </c>
      <c r="AP16" s="5">
        <v>40</v>
      </c>
      <c r="AQ16" s="5">
        <v>40</v>
      </c>
      <c r="AR16" s="5">
        <v>40</v>
      </c>
      <c r="AS16" s="5">
        <v>40</v>
      </c>
      <c r="AT16" s="5">
        <v>32</v>
      </c>
      <c r="AU16" s="5">
        <v>32</v>
      </c>
      <c r="AV16" s="5">
        <v>32</v>
      </c>
      <c r="AW16" s="5">
        <v>40</v>
      </c>
      <c r="AX16" s="5">
        <v>30</v>
      </c>
      <c r="AY16" s="5">
        <v>40</v>
      </c>
      <c r="AZ16" s="5">
        <v>33</v>
      </c>
      <c r="BA16" s="5">
        <v>40</v>
      </c>
      <c r="BB16" s="5">
        <v>40</v>
      </c>
      <c r="BC16" s="5">
        <v>40</v>
      </c>
      <c r="BD16" s="5">
        <v>13</v>
      </c>
      <c r="BE16" s="5">
        <v>13</v>
      </c>
      <c r="BF16" s="5">
        <v>13</v>
      </c>
      <c r="BG16" s="5">
        <v>26</v>
      </c>
      <c r="BH16" s="5">
        <v>26</v>
      </c>
      <c r="BI16" s="5">
        <v>26</v>
      </c>
      <c r="BJ16" s="5">
        <v>13</v>
      </c>
      <c r="BK16" s="5">
        <v>36</v>
      </c>
      <c r="BL16" s="5">
        <v>36</v>
      </c>
      <c r="BM16" s="5">
        <v>16</v>
      </c>
      <c r="BN16" s="5">
        <v>16</v>
      </c>
      <c r="BO16" s="5">
        <v>16</v>
      </c>
      <c r="BP16" s="5">
        <v>16</v>
      </c>
      <c r="BQ16" s="5">
        <v>16</v>
      </c>
      <c r="BR16" s="5">
        <v>16</v>
      </c>
      <c r="BS16" s="5">
        <v>16</v>
      </c>
      <c r="BT16" s="5">
        <v>32</v>
      </c>
      <c r="BU16" s="5">
        <v>32</v>
      </c>
      <c r="BV16" s="5">
        <v>32</v>
      </c>
      <c r="BW16" s="5">
        <v>32</v>
      </c>
      <c r="BX16" s="5">
        <v>32</v>
      </c>
      <c r="BY16" s="5">
        <v>32</v>
      </c>
      <c r="BZ16" s="5">
        <v>32</v>
      </c>
      <c r="CA16" s="5">
        <v>32</v>
      </c>
      <c r="CB16" s="5">
        <v>32</v>
      </c>
      <c r="CC16" s="5">
        <v>32</v>
      </c>
      <c r="CD16" s="5">
        <v>32</v>
      </c>
      <c r="CE16" s="5">
        <v>32</v>
      </c>
      <c r="CF16" s="5">
        <v>32</v>
      </c>
      <c r="CG16" s="5">
        <v>36</v>
      </c>
      <c r="CH16" s="5">
        <v>36</v>
      </c>
      <c r="CI16" s="5">
        <v>36</v>
      </c>
    </row>
    <row r="17" spans="1:87" x14ac:dyDescent="0.25">
      <c r="A17" t="s">
        <v>51</v>
      </c>
      <c r="B17" s="96"/>
      <c r="C17" s="5"/>
      <c r="D17" s="5"/>
      <c r="E17" s="5">
        <v>1</v>
      </c>
      <c r="F17" s="5">
        <v>1</v>
      </c>
      <c r="G17" s="5"/>
      <c r="H17" s="5"/>
      <c r="I17" s="5">
        <v>2</v>
      </c>
      <c r="J17" s="5">
        <v>2</v>
      </c>
      <c r="K17" s="5">
        <v>2</v>
      </c>
      <c r="L17" s="5">
        <v>2</v>
      </c>
      <c r="M17" s="5">
        <v>2</v>
      </c>
      <c r="N17" s="5">
        <v>2</v>
      </c>
      <c r="O17" s="5">
        <v>5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>
        <v>3</v>
      </c>
      <c r="AJ17" s="5">
        <v>3</v>
      </c>
      <c r="AK17" s="5">
        <v>3</v>
      </c>
      <c r="AL17" s="5">
        <v>3</v>
      </c>
      <c r="AM17" s="5">
        <v>4</v>
      </c>
      <c r="AN17" s="5">
        <v>4</v>
      </c>
      <c r="AO17" s="5">
        <v>4</v>
      </c>
      <c r="AP17" s="5">
        <v>4</v>
      </c>
      <c r="AQ17" s="5">
        <v>4</v>
      </c>
      <c r="AR17" s="5">
        <v>4</v>
      </c>
      <c r="AS17" s="5">
        <v>4</v>
      </c>
      <c r="AT17" s="5"/>
      <c r="AU17" s="5"/>
      <c r="AV17" s="5"/>
      <c r="AW17" s="5"/>
      <c r="AX17" s="5">
        <v>3</v>
      </c>
      <c r="AY17" s="5">
        <v>3</v>
      </c>
      <c r="AZ17" s="5">
        <v>3</v>
      </c>
      <c r="BA17" s="5">
        <v>4</v>
      </c>
      <c r="BB17" s="5">
        <v>4</v>
      </c>
      <c r="BC17" s="5">
        <v>4</v>
      </c>
      <c r="BI17" s="5">
        <v>2</v>
      </c>
      <c r="BK17" s="5">
        <v>2</v>
      </c>
      <c r="BL17" s="5">
        <v>2</v>
      </c>
      <c r="BX17" s="5">
        <v>2</v>
      </c>
      <c r="BY17" s="5">
        <v>2</v>
      </c>
      <c r="BZ17" s="5">
        <v>2</v>
      </c>
      <c r="CD17" s="5">
        <v>2</v>
      </c>
      <c r="CE17" s="5">
        <v>2</v>
      </c>
      <c r="CF17" s="5">
        <v>2</v>
      </c>
      <c r="CG17" s="5">
        <v>2</v>
      </c>
      <c r="CH17" s="5">
        <v>2</v>
      </c>
      <c r="CI17" s="5">
        <v>2</v>
      </c>
    </row>
    <row r="18" spans="1:87" x14ac:dyDescent="0.25">
      <c r="A18" s="10" t="s">
        <v>59</v>
      </c>
      <c r="B18" s="96"/>
      <c r="C18" s="5"/>
      <c r="D18" s="5"/>
      <c r="E18" s="5">
        <v>16</v>
      </c>
      <c r="F18" s="5">
        <v>16</v>
      </c>
      <c r="G18" s="5"/>
      <c r="H18" s="5"/>
      <c r="I18" s="5">
        <v>26</v>
      </c>
      <c r="J18" s="5">
        <v>26</v>
      </c>
      <c r="K18" s="5">
        <v>26</v>
      </c>
      <c r="L18" s="5">
        <v>30</v>
      </c>
      <c r="M18" s="5">
        <v>26</v>
      </c>
      <c r="N18" s="5">
        <v>30</v>
      </c>
      <c r="O18" s="5">
        <v>65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>
        <v>40</v>
      </c>
      <c r="AJ18" s="5">
        <v>40</v>
      </c>
      <c r="AK18" s="5">
        <v>40</v>
      </c>
      <c r="AL18" s="5">
        <v>40</v>
      </c>
      <c r="AM18" s="5">
        <v>40</v>
      </c>
      <c r="AN18" s="5">
        <v>40</v>
      </c>
      <c r="AO18" s="5">
        <v>40</v>
      </c>
      <c r="AP18" s="5">
        <v>40</v>
      </c>
      <c r="AQ18" s="5">
        <v>40</v>
      </c>
      <c r="AR18" s="5">
        <v>40</v>
      </c>
      <c r="AS18" s="5">
        <v>40</v>
      </c>
      <c r="AT18" s="5"/>
      <c r="AU18" s="5"/>
      <c r="AV18" s="5"/>
      <c r="AW18" s="5"/>
      <c r="AX18" s="5">
        <v>30</v>
      </c>
      <c r="AY18" s="5">
        <v>40</v>
      </c>
      <c r="AZ18" s="5">
        <v>33</v>
      </c>
      <c r="BA18" s="5">
        <v>40</v>
      </c>
      <c r="BB18" s="5">
        <v>40</v>
      </c>
      <c r="BC18" s="5">
        <v>40</v>
      </c>
      <c r="BI18" s="5">
        <v>26</v>
      </c>
      <c r="BK18" s="5">
        <v>36</v>
      </c>
      <c r="BL18" s="5">
        <v>36</v>
      </c>
      <c r="BX18" s="5">
        <v>32</v>
      </c>
      <c r="BY18" s="5">
        <v>32</v>
      </c>
      <c r="BZ18" s="5">
        <v>32</v>
      </c>
      <c r="CD18" s="5">
        <v>32</v>
      </c>
      <c r="CE18" s="5">
        <v>32</v>
      </c>
      <c r="CF18" s="5">
        <v>32</v>
      </c>
      <c r="CG18" s="5">
        <v>36</v>
      </c>
      <c r="CH18" s="5">
        <v>36</v>
      </c>
      <c r="CI18" s="5">
        <v>36</v>
      </c>
    </row>
    <row r="19" spans="1:87" x14ac:dyDescent="0.25">
      <c r="A19" t="s">
        <v>52</v>
      </c>
      <c r="B19" s="96"/>
      <c r="C19" s="5"/>
      <c r="D19" s="5"/>
      <c r="E19" s="5"/>
      <c r="F19" s="5"/>
      <c r="G19" s="5"/>
      <c r="H19" s="5"/>
      <c r="I19" s="5">
        <v>2</v>
      </c>
      <c r="J19" s="5">
        <v>2</v>
      </c>
      <c r="K19" s="5">
        <v>2</v>
      </c>
      <c r="L19" s="5">
        <v>2</v>
      </c>
      <c r="M19" s="5">
        <v>2</v>
      </c>
      <c r="N19" s="5">
        <v>2</v>
      </c>
      <c r="O19" s="5">
        <v>4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>
        <v>3</v>
      </c>
      <c r="AL19" s="5">
        <v>3</v>
      </c>
      <c r="AM19" s="5">
        <v>4</v>
      </c>
      <c r="AN19" s="5">
        <v>4</v>
      </c>
      <c r="AO19" s="5">
        <v>4</v>
      </c>
      <c r="AP19" s="5">
        <v>4</v>
      </c>
      <c r="AQ19" s="5">
        <v>4</v>
      </c>
      <c r="AR19" s="5">
        <v>4</v>
      </c>
      <c r="AS19" s="5">
        <v>4</v>
      </c>
      <c r="AT19" s="5"/>
      <c r="AU19" s="5"/>
      <c r="AV19" s="5"/>
      <c r="AW19" s="5"/>
      <c r="AX19" s="5"/>
      <c r="AY19" s="5">
        <v>3</v>
      </c>
      <c r="AZ19" s="5">
        <v>3</v>
      </c>
      <c r="BA19" s="5">
        <v>4</v>
      </c>
      <c r="BB19" s="5">
        <v>4</v>
      </c>
      <c r="BC19" s="5">
        <v>4</v>
      </c>
      <c r="BL19" s="5">
        <v>2</v>
      </c>
      <c r="BX19" s="5">
        <v>2</v>
      </c>
      <c r="BY19" s="5">
        <v>2</v>
      </c>
      <c r="BZ19" s="5">
        <v>2</v>
      </c>
      <c r="CD19" s="5">
        <v>2</v>
      </c>
      <c r="CE19" s="5">
        <v>2</v>
      </c>
      <c r="CF19" s="5">
        <v>2</v>
      </c>
      <c r="CG19" s="5">
        <v>2</v>
      </c>
      <c r="CH19" s="5">
        <v>2</v>
      </c>
      <c r="CI19" s="5">
        <v>2</v>
      </c>
    </row>
    <row r="20" spans="1:87" x14ac:dyDescent="0.25">
      <c r="A20" s="10" t="s">
        <v>60</v>
      </c>
      <c r="B20" s="96"/>
      <c r="C20" s="5"/>
      <c r="D20" s="5"/>
      <c r="E20" s="5"/>
      <c r="F20" s="5"/>
      <c r="G20" s="5"/>
      <c r="H20" s="5"/>
      <c r="I20" s="5">
        <v>26</v>
      </c>
      <c r="J20" s="5">
        <v>26</v>
      </c>
      <c r="K20" s="5">
        <v>26</v>
      </c>
      <c r="L20" s="5">
        <v>30</v>
      </c>
      <c r="M20" s="5">
        <v>26</v>
      </c>
      <c r="N20" s="5">
        <v>30</v>
      </c>
      <c r="O20" s="5">
        <v>65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E20" s="5"/>
      <c r="AF20" s="5"/>
      <c r="AG20" s="5"/>
      <c r="AH20" s="5"/>
      <c r="AI20" s="5"/>
      <c r="AJ20" s="5"/>
      <c r="AK20" s="5">
        <v>40</v>
      </c>
      <c r="AL20" s="5">
        <v>40</v>
      </c>
      <c r="AM20" s="5">
        <v>40</v>
      </c>
      <c r="AN20" s="5">
        <v>40</v>
      </c>
      <c r="AO20" s="5">
        <v>40</v>
      </c>
      <c r="AP20" s="5">
        <v>40</v>
      </c>
      <c r="AQ20" s="5">
        <v>40</v>
      </c>
      <c r="AR20" s="5">
        <v>40</v>
      </c>
      <c r="AS20" s="5">
        <v>40</v>
      </c>
      <c r="AT20" s="5"/>
      <c r="AU20" s="5"/>
      <c r="AV20" s="5"/>
      <c r="AW20" s="5"/>
      <c r="AX20" s="5"/>
      <c r="AY20" s="5">
        <v>40</v>
      </c>
      <c r="AZ20" s="5">
        <v>33</v>
      </c>
      <c r="BA20" s="5">
        <v>40</v>
      </c>
      <c r="BB20" s="5">
        <v>40</v>
      </c>
      <c r="BC20" s="5">
        <v>40</v>
      </c>
      <c r="BL20" s="5">
        <v>36</v>
      </c>
      <c r="BX20" s="5">
        <v>32</v>
      </c>
      <c r="BY20" s="5">
        <v>32</v>
      </c>
      <c r="BZ20" s="5">
        <v>32</v>
      </c>
      <c r="CD20" s="5">
        <v>32</v>
      </c>
      <c r="CE20" s="5">
        <v>32</v>
      </c>
      <c r="CF20" s="5">
        <v>32</v>
      </c>
      <c r="CG20" s="5">
        <v>36</v>
      </c>
      <c r="CH20" s="5">
        <v>36</v>
      </c>
      <c r="CI20" s="5">
        <v>36</v>
      </c>
    </row>
    <row r="21" spans="1:87" x14ac:dyDescent="0.25">
      <c r="A21" t="s">
        <v>53</v>
      </c>
      <c r="B21" s="96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v>2</v>
      </c>
      <c r="N21" s="5">
        <v>2</v>
      </c>
      <c r="O21" s="5">
        <v>5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>
        <v>4</v>
      </c>
      <c r="AP21" s="5">
        <v>4</v>
      </c>
      <c r="AQ21" s="5">
        <v>4</v>
      </c>
      <c r="AR21" s="5">
        <v>4</v>
      </c>
      <c r="AS21" s="5">
        <v>4</v>
      </c>
      <c r="AT21" s="5"/>
      <c r="AU21" s="5"/>
      <c r="AV21" s="5"/>
      <c r="AW21" s="5"/>
      <c r="AX21" s="5"/>
      <c r="BX21" s="5">
        <v>2</v>
      </c>
      <c r="BY21" s="5">
        <v>2</v>
      </c>
      <c r="BZ21" s="5">
        <v>2</v>
      </c>
      <c r="CF21" s="5">
        <v>2</v>
      </c>
      <c r="CG21" s="5">
        <v>2</v>
      </c>
      <c r="CH21" s="5">
        <v>2</v>
      </c>
      <c r="CI21" s="5">
        <v>2</v>
      </c>
    </row>
    <row r="22" spans="1:87" x14ac:dyDescent="0.25">
      <c r="A22" s="10" t="s">
        <v>61</v>
      </c>
      <c r="B22" s="96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v>26</v>
      </c>
      <c r="N22" s="5">
        <v>30</v>
      </c>
      <c r="O22" s="5">
        <v>65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>
        <v>40</v>
      </c>
      <c r="AP22" s="5">
        <v>40</v>
      </c>
      <c r="AQ22" s="5">
        <v>40</v>
      </c>
      <c r="AR22" s="5">
        <v>40</v>
      </c>
      <c r="AS22" s="5">
        <v>40</v>
      </c>
      <c r="AT22" s="5"/>
      <c r="AU22" s="5"/>
      <c r="AV22" s="5"/>
      <c r="AW22" s="5"/>
      <c r="AX22" s="5"/>
      <c r="BX22" s="5">
        <v>32</v>
      </c>
      <c r="BY22" s="5">
        <v>32</v>
      </c>
      <c r="BZ22" s="5">
        <v>32</v>
      </c>
      <c r="CF22" s="5">
        <v>32</v>
      </c>
      <c r="CG22" s="5">
        <v>36</v>
      </c>
      <c r="CH22" s="5">
        <v>36</v>
      </c>
      <c r="CI22" s="5">
        <v>36</v>
      </c>
    </row>
    <row r="23" spans="1:87" x14ac:dyDescent="0.25">
      <c r="A23" t="s">
        <v>54</v>
      </c>
      <c r="B23" s="96"/>
      <c r="C23" s="5"/>
      <c r="D23" s="5"/>
      <c r="E23" s="5"/>
      <c r="F23" s="5"/>
      <c r="G23" s="5"/>
      <c r="H23" s="5"/>
      <c r="I23" s="5"/>
      <c r="J23" s="5"/>
      <c r="K23" s="5"/>
      <c r="L23" s="5"/>
      <c r="M23" s="5">
        <v>2</v>
      </c>
      <c r="N23" s="5">
        <v>2</v>
      </c>
      <c r="O23" s="5">
        <v>5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>
        <v>4</v>
      </c>
      <c r="AP23" s="5">
        <v>4</v>
      </c>
      <c r="AQ23" s="5">
        <v>4</v>
      </c>
      <c r="AR23" s="5">
        <v>4</v>
      </c>
      <c r="AS23" s="5">
        <v>4</v>
      </c>
      <c r="AT23" s="5"/>
      <c r="AU23" s="5"/>
      <c r="AV23" s="5"/>
      <c r="AW23" s="5"/>
      <c r="AX23" s="5"/>
      <c r="BX23" s="5">
        <v>2</v>
      </c>
      <c r="BY23" s="5">
        <v>2</v>
      </c>
      <c r="BZ23" s="5">
        <v>2</v>
      </c>
      <c r="CG23" s="5">
        <v>2</v>
      </c>
      <c r="CH23" s="5">
        <v>2</v>
      </c>
      <c r="CI23" s="5">
        <v>2</v>
      </c>
    </row>
    <row r="24" spans="1:87" x14ac:dyDescent="0.25">
      <c r="A24" s="10" t="s">
        <v>62</v>
      </c>
      <c r="B24" s="96"/>
      <c r="C24" s="5"/>
      <c r="D24" s="5"/>
      <c r="E24" s="5"/>
      <c r="F24" s="5"/>
      <c r="G24" s="5"/>
      <c r="H24" s="5"/>
      <c r="I24" s="5"/>
      <c r="J24" s="5"/>
      <c r="K24" s="5"/>
      <c r="L24" s="5"/>
      <c r="M24" s="5">
        <v>26</v>
      </c>
      <c r="N24" s="5">
        <v>30</v>
      </c>
      <c r="O24" s="5">
        <v>65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>
        <v>40</v>
      </c>
      <c r="AP24" s="5">
        <v>40</v>
      </c>
      <c r="AQ24" s="5">
        <v>40</v>
      </c>
      <c r="AR24" s="5">
        <v>40</v>
      </c>
      <c r="AS24" s="5">
        <v>40</v>
      </c>
      <c r="AT24" s="5"/>
      <c r="AU24" s="5"/>
      <c r="AV24" s="5"/>
      <c r="AW24" s="5"/>
      <c r="AX24" s="5"/>
      <c r="BX24" s="5">
        <v>32</v>
      </c>
      <c r="BY24" s="5">
        <v>32</v>
      </c>
      <c r="BZ24" s="5">
        <v>32</v>
      </c>
      <c r="CG24" s="5">
        <v>36</v>
      </c>
      <c r="CH24" s="5">
        <v>36</v>
      </c>
      <c r="CI24" s="5">
        <v>36</v>
      </c>
    </row>
    <row r="25" spans="1:87" x14ac:dyDescent="0.25">
      <c r="A25" t="s">
        <v>540</v>
      </c>
      <c r="B25" s="96"/>
      <c r="C25" s="5"/>
      <c r="D25" s="5"/>
      <c r="E25" s="5"/>
      <c r="F25" s="5"/>
      <c r="G25" s="5"/>
      <c r="H25" s="5"/>
      <c r="I25" s="5"/>
      <c r="J25" s="5"/>
      <c r="K25" s="5"/>
      <c r="L25" s="5"/>
      <c r="M25" s="5">
        <v>2</v>
      </c>
      <c r="N25" s="5">
        <v>2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BY25" s="5">
        <v>2</v>
      </c>
      <c r="BZ25" s="5">
        <v>2</v>
      </c>
      <c r="CG25" s="5">
        <v>2</v>
      </c>
      <c r="CH25" s="5">
        <v>2</v>
      </c>
      <c r="CI25" s="5">
        <v>2</v>
      </c>
    </row>
    <row r="26" spans="1:87" x14ac:dyDescent="0.25">
      <c r="A26" s="10" t="s">
        <v>541</v>
      </c>
      <c r="B26" s="96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v>26</v>
      </c>
      <c r="N26" s="5">
        <v>30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BY26" s="5">
        <v>32</v>
      </c>
      <c r="BZ26" s="5">
        <v>32</v>
      </c>
      <c r="CG26" s="5">
        <v>36</v>
      </c>
      <c r="CH26" s="5">
        <v>36</v>
      </c>
      <c r="CI26" s="5">
        <v>36</v>
      </c>
    </row>
    <row r="27" spans="1:87" x14ac:dyDescent="0.25">
      <c r="A27" t="s">
        <v>542</v>
      </c>
      <c r="B27" s="96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v>2</v>
      </c>
      <c r="N27" s="5">
        <v>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BY27" s="5">
        <v>2</v>
      </c>
      <c r="BZ27" s="5">
        <v>2</v>
      </c>
      <c r="CG27" s="5">
        <v>2</v>
      </c>
      <c r="CH27" s="5">
        <v>2</v>
      </c>
      <c r="CI27" s="5">
        <v>2</v>
      </c>
    </row>
    <row r="28" spans="1:87" x14ac:dyDescent="0.25">
      <c r="A28" s="10" t="s">
        <v>543</v>
      </c>
      <c r="B28" s="96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v>26</v>
      </c>
      <c r="N28" s="5">
        <v>30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BY28" s="5">
        <v>32</v>
      </c>
      <c r="BZ28" s="5">
        <v>32</v>
      </c>
      <c r="CG28" s="5">
        <v>36</v>
      </c>
      <c r="CH28" s="5">
        <v>36</v>
      </c>
      <c r="CI28" s="5">
        <v>36</v>
      </c>
    </row>
    <row r="29" spans="1:87" x14ac:dyDescent="0.25">
      <c r="A29" t="s">
        <v>544</v>
      </c>
      <c r="B29" s="96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v>2</v>
      </c>
      <c r="N29" s="5">
        <v>2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BY29" s="5">
        <v>2</v>
      </c>
      <c r="BZ29" s="5">
        <v>2</v>
      </c>
    </row>
    <row r="30" spans="1:87" x14ac:dyDescent="0.25">
      <c r="A30" s="10" t="s">
        <v>545</v>
      </c>
      <c r="B30" s="96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v>26</v>
      </c>
      <c r="N30" s="5">
        <v>30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BY30" s="5">
        <v>32</v>
      </c>
      <c r="BZ30" s="5">
        <v>32</v>
      </c>
    </row>
    <row r="31" spans="1:87" x14ac:dyDescent="0.25">
      <c r="A31" t="s">
        <v>546</v>
      </c>
      <c r="B31" s="96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v>2</v>
      </c>
      <c r="N31" s="5">
        <v>2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BY31" s="5">
        <v>2</v>
      </c>
      <c r="BZ31" s="5">
        <v>2</v>
      </c>
    </row>
    <row r="32" spans="1:87" x14ac:dyDescent="0.25">
      <c r="A32" s="10" t="s">
        <v>547</v>
      </c>
      <c r="B32" s="96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v>26</v>
      </c>
      <c r="N32" s="5">
        <v>30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BY32" s="5">
        <v>32</v>
      </c>
      <c r="BZ32" s="5">
        <v>32</v>
      </c>
    </row>
    <row r="33" spans="1:87" x14ac:dyDescent="0.25">
      <c r="A33" t="s">
        <v>552</v>
      </c>
      <c r="B33" s="9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BY33" s="5"/>
    </row>
    <row r="34" spans="1:87" x14ac:dyDescent="0.25">
      <c r="A34" s="10" t="s">
        <v>553</v>
      </c>
      <c r="B34" s="9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BY34" s="5"/>
    </row>
    <row r="35" spans="1:87" x14ac:dyDescent="0.25">
      <c r="A35" t="s">
        <v>554</v>
      </c>
      <c r="B35" s="96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BY35" s="5"/>
    </row>
    <row r="36" spans="1:87" x14ac:dyDescent="0.25">
      <c r="A36" s="10" t="s">
        <v>555</v>
      </c>
      <c r="B36" s="9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BY36" s="5"/>
    </row>
    <row r="37" spans="1:87" x14ac:dyDescent="0.25">
      <c r="A37" t="s">
        <v>147</v>
      </c>
      <c r="B37" s="96"/>
      <c r="C37" t="s">
        <v>700</v>
      </c>
      <c r="D37" t="s">
        <v>700</v>
      </c>
      <c r="E37" t="s">
        <v>700</v>
      </c>
      <c r="F37" t="s">
        <v>700</v>
      </c>
      <c r="G37" t="s">
        <v>700</v>
      </c>
      <c r="H37" t="s">
        <v>700</v>
      </c>
      <c r="I37" t="s">
        <v>700</v>
      </c>
      <c r="J37" t="s">
        <v>700</v>
      </c>
      <c r="K37" t="s">
        <v>700</v>
      </c>
      <c r="L37" t="s">
        <v>700</v>
      </c>
      <c r="M37" t="s">
        <v>700</v>
      </c>
      <c r="N37" t="s">
        <v>700</v>
      </c>
      <c r="O37" t="s">
        <v>701</v>
      </c>
      <c r="P37" t="s">
        <v>455</v>
      </c>
      <c r="Q37" t="s">
        <v>456</v>
      </c>
      <c r="R37" t="s">
        <v>456</v>
      </c>
      <c r="S37" t="s">
        <v>456</v>
      </c>
      <c r="T37" t="s">
        <v>456</v>
      </c>
      <c r="U37" t="s">
        <v>457</v>
      </c>
      <c r="V37" t="s">
        <v>457</v>
      </c>
      <c r="W37" t="s">
        <v>457</v>
      </c>
      <c r="X37" t="s">
        <v>457</v>
      </c>
      <c r="Y37" t="s">
        <v>457</v>
      </c>
      <c r="Z37" t="s">
        <v>457</v>
      </c>
      <c r="AA37" t="s">
        <v>456</v>
      </c>
      <c r="AB37" t="s">
        <v>456</v>
      </c>
      <c r="AC37" t="s">
        <v>457</v>
      </c>
      <c r="AD37" t="s">
        <v>457</v>
      </c>
      <c r="AE37" t="s">
        <v>457</v>
      </c>
      <c r="AF37" t="s">
        <v>458</v>
      </c>
      <c r="AG37" t="s">
        <v>458</v>
      </c>
      <c r="AH37" t="s">
        <v>458</v>
      </c>
      <c r="AI37" t="s">
        <v>459</v>
      </c>
      <c r="AJ37" t="s">
        <v>459</v>
      </c>
      <c r="AK37" t="s">
        <v>460</v>
      </c>
      <c r="AL37" t="s">
        <v>460</v>
      </c>
      <c r="AM37" t="s">
        <v>461</v>
      </c>
      <c r="AN37" t="s">
        <v>461</v>
      </c>
      <c r="AO37" t="s">
        <v>462</v>
      </c>
      <c r="AP37" t="s">
        <v>462</v>
      </c>
      <c r="AQ37" t="s">
        <v>462</v>
      </c>
      <c r="AR37" t="s">
        <v>462</v>
      </c>
      <c r="AS37" t="s">
        <v>462</v>
      </c>
      <c r="AT37" t="s">
        <v>457</v>
      </c>
      <c r="AU37" t="s">
        <v>457</v>
      </c>
      <c r="AV37" t="s">
        <v>457</v>
      </c>
      <c r="AW37" t="s">
        <v>458</v>
      </c>
      <c r="AX37" t="s">
        <v>463</v>
      </c>
      <c r="AY37" t="s">
        <v>464</v>
      </c>
      <c r="AZ37" t="s">
        <v>464</v>
      </c>
      <c r="BA37" t="s">
        <v>461</v>
      </c>
      <c r="BB37" t="s">
        <v>461</v>
      </c>
      <c r="BC37" t="s">
        <v>461</v>
      </c>
      <c r="BD37" t="s">
        <v>456</v>
      </c>
      <c r="BE37" t="s">
        <v>456</v>
      </c>
      <c r="BF37" t="s">
        <v>456</v>
      </c>
      <c r="BG37" t="s">
        <v>457</v>
      </c>
      <c r="BH37" t="s">
        <v>457</v>
      </c>
      <c r="BI37" t="s">
        <v>561</v>
      </c>
      <c r="BJ37" t="s">
        <v>457</v>
      </c>
      <c r="BK37" t="s">
        <v>561</v>
      </c>
      <c r="BL37" t="s">
        <v>578</v>
      </c>
      <c r="BM37" t="s">
        <v>456</v>
      </c>
      <c r="BN37" t="s">
        <v>456</v>
      </c>
      <c r="BO37" t="s">
        <v>456</v>
      </c>
      <c r="BP37" t="s">
        <v>457</v>
      </c>
      <c r="BQ37" t="s">
        <v>457</v>
      </c>
      <c r="BR37" t="s">
        <v>457</v>
      </c>
      <c r="BS37" t="s">
        <v>457</v>
      </c>
      <c r="BT37" t="s">
        <v>457</v>
      </c>
      <c r="BU37" t="s">
        <v>457</v>
      </c>
      <c r="BV37" t="s">
        <v>457</v>
      </c>
      <c r="BW37" t="s">
        <v>457</v>
      </c>
      <c r="BX37" t="s">
        <v>574</v>
      </c>
      <c r="BY37" t="s">
        <v>575</v>
      </c>
      <c r="BZ37" t="s">
        <v>575</v>
      </c>
      <c r="CA37" t="s">
        <v>457</v>
      </c>
      <c r="CB37" t="s">
        <v>457</v>
      </c>
      <c r="CC37" t="s">
        <v>457</v>
      </c>
      <c r="CD37" t="s">
        <v>578</v>
      </c>
      <c r="CE37" t="s">
        <v>578</v>
      </c>
      <c r="CF37" t="s">
        <v>598</v>
      </c>
      <c r="CG37" t="s">
        <v>604</v>
      </c>
      <c r="CH37" t="s">
        <v>604</v>
      </c>
      <c r="CI37" t="s">
        <v>604</v>
      </c>
    </row>
    <row r="38" spans="1:87" x14ac:dyDescent="0.25">
      <c r="A38" s="10" t="s">
        <v>160</v>
      </c>
      <c r="B38" s="96"/>
      <c r="C38" s="5">
        <v>18</v>
      </c>
      <c r="D38" s="5">
        <v>18</v>
      </c>
      <c r="E38" s="5">
        <v>20</v>
      </c>
      <c r="F38" s="5">
        <v>20</v>
      </c>
      <c r="G38" s="5">
        <v>40</v>
      </c>
      <c r="H38" s="5">
        <v>40</v>
      </c>
      <c r="I38" s="5">
        <v>40</v>
      </c>
      <c r="J38" s="5">
        <v>40</v>
      </c>
      <c r="K38" s="5">
        <v>40</v>
      </c>
      <c r="L38" s="5">
        <v>40</v>
      </c>
      <c r="M38" s="5">
        <v>40</v>
      </c>
      <c r="N38" s="5">
        <v>40</v>
      </c>
      <c r="O38" s="5">
        <v>115</v>
      </c>
      <c r="P38" s="5">
        <v>19.5</v>
      </c>
      <c r="Q38" s="5">
        <v>19.5</v>
      </c>
      <c r="R38" s="5">
        <v>19.5</v>
      </c>
      <c r="S38" s="5">
        <v>19.5</v>
      </c>
      <c r="T38" s="5">
        <v>19.5</v>
      </c>
      <c r="U38" s="5">
        <v>19.5</v>
      </c>
      <c r="V38" s="5">
        <v>19.5</v>
      </c>
      <c r="W38" s="5">
        <v>19.5</v>
      </c>
      <c r="X38" s="5">
        <v>39</v>
      </c>
      <c r="Y38" s="5">
        <v>39</v>
      </c>
      <c r="Z38" s="5">
        <v>39</v>
      </c>
      <c r="AA38" s="5">
        <v>19.5</v>
      </c>
      <c r="AB38" s="5">
        <v>16</v>
      </c>
      <c r="AC38" s="5">
        <v>16</v>
      </c>
      <c r="AD38" s="5">
        <v>48</v>
      </c>
      <c r="AE38" s="5">
        <v>48</v>
      </c>
      <c r="AF38" s="5">
        <v>48</v>
      </c>
      <c r="AG38" s="5">
        <v>48</v>
      </c>
      <c r="AH38" s="5">
        <v>60</v>
      </c>
      <c r="AI38" s="5">
        <v>60</v>
      </c>
      <c r="AJ38" s="5">
        <v>60</v>
      </c>
      <c r="AK38" s="5">
        <v>60</v>
      </c>
      <c r="AL38" s="5">
        <v>60</v>
      </c>
      <c r="AM38" s="5">
        <v>60</v>
      </c>
      <c r="AN38" s="5">
        <v>60</v>
      </c>
      <c r="AO38" s="5">
        <v>60</v>
      </c>
      <c r="AP38" s="5">
        <v>60</v>
      </c>
      <c r="AQ38" s="5">
        <v>60</v>
      </c>
      <c r="AR38" s="5">
        <v>60</v>
      </c>
      <c r="AS38" s="5">
        <v>60</v>
      </c>
      <c r="AT38" s="5">
        <v>48</v>
      </c>
      <c r="AU38" s="5">
        <v>48</v>
      </c>
      <c r="AV38" s="5">
        <v>48</v>
      </c>
      <c r="AW38" s="5">
        <v>60</v>
      </c>
      <c r="AX38" s="5">
        <v>45</v>
      </c>
      <c r="AY38" s="5">
        <v>60</v>
      </c>
      <c r="AZ38" s="5">
        <v>48</v>
      </c>
      <c r="BA38" s="5">
        <v>55</v>
      </c>
      <c r="BB38" s="5">
        <v>55</v>
      </c>
      <c r="BC38" s="5">
        <v>60</v>
      </c>
      <c r="BD38" s="5">
        <v>17</v>
      </c>
      <c r="BE38" s="5">
        <v>17</v>
      </c>
      <c r="BF38" s="5">
        <v>22</v>
      </c>
      <c r="BG38" s="5">
        <v>34</v>
      </c>
      <c r="BH38" s="5">
        <v>44</v>
      </c>
      <c r="BI38" s="5">
        <v>44</v>
      </c>
      <c r="BJ38" s="5">
        <v>34</v>
      </c>
      <c r="BK38" s="5">
        <v>55</v>
      </c>
      <c r="BL38" s="5">
        <v>55</v>
      </c>
      <c r="BM38" s="5">
        <v>20</v>
      </c>
      <c r="BN38" s="5">
        <v>20</v>
      </c>
      <c r="BO38" s="5">
        <v>20</v>
      </c>
      <c r="BP38" s="5">
        <v>35</v>
      </c>
      <c r="BQ38" s="5">
        <v>35</v>
      </c>
      <c r="BR38" s="5">
        <v>40</v>
      </c>
      <c r="BS38" s="5">
        <v>40</v>
      </c>
      <c r="BT38" s="5">
        <v>40</v>
      </c>
      <c r="BU38" s="5">
        <v>40</v>
      </c>
      <c r="BV38" s="5">
        <v>40</v>
      </c>
      <c r="BW38" s="5">
        <v>40</v>
      </c>
      <c r="BX38" s="5">
        <v>50</v>
      </c>
      <c r="BY38" s="5">
        <v>50</v>
      </c>
      <c r="BZ38" s="5">
        <v>50</v>
      </c>
      <c r="CA38" s="5">
        <v>40</v>
      </c>
      <c r="CB38" s="5">
        <v>40</v>
      </c>
      <c r="CC38" s="5">
        <v>40</v>
      </c>
      <c r="CD38" s="5">
        <v>40</v>
      </c>
      <c r="CE38" s="5">
        <v>40</v>
      </c>
      <c r="CF38" s="5">
        <v>40</v>
      </c>
      <c r="CG38" s="5">
        <v>50</v>
      </c>
      <c r="CH38" s="5">
        <v>50</v>
      </c>
      <c r="CI38" s="5">
        <v>50</v>
      </c>
    </row>
    <row r="39" spans="1:87" x14ac:dyDescent="0.25">
      <c r="A39" s="10" t="s">
        <v>161</v>
      </c>
      <c r="B39" s="96"/>
      <c r="C39" s="5">
        <v>18</v>
      </c>
      <c r="D39" s="5">
        <v>18</v>
      </c>
      <c r="E39" s="5">
        <v>20</v>
      </c>
      <c r="F39" s="5">
        <v>20</v>
      </c>
      <c r="G39" s="5">
        <v>40</v>
      </c>
      <c r="H39" s="5">
        <v>40</v>
      </c>
      <c r="I39" s="5">
        <v>40</v>
      </c>
      <c r="J39" s="5">
        <v>40</v>
      </c>
      <c r="K39" s="5">
        <v>40</v>
      </c>
      <c r="L39" s="5">
        <v>40</v>
      </c>
      <c r="M39" s="5">
        <v>40</v>
      </c>
      <c r="N39" s="5">
        <v>40</v>
      </c>
      <c r="O39" s="5">
        <v>115</v>
      </c>
      <c r="P39" s="5"/>
      <c r="Q39" s="5">
        <v>19.5</v>
      </c>
      <c r="R39" s="5">
        <v>19.5</v>
      </c>
      <c r="S39" s="5">
        <v>19.5</v>
      </c>
      <c r="T39" s="5">
        <v>19.5</v>
      </c>
      <c r="U39" s="5">
        <v>39</v>
      </c>
      <c r="V39" s="5">
        <v>39</v>
      </c>
      <c r="W39" s="5">
        <v>39</v>
      </c>
      <c r="X39" s="5">
        <v>39</v>
      </c>
      <c r="Y39" s="5">
        <v>39</v>
      </c>
      <c r="Z39" s="5">
        <v>39</v>
      </c>
      <c r="AA39" s="5">
        <v>19.5</v>
      </c>
      <c r="AB39" s="5">
        <v>32</v>
      </c>
      <c r="AC39" s="5">
        <v>32</v>
      </c>
      <c r="AD39" s="5">
        <v>48</v>
      </c>
      <c r="AE39" s="5">
        <v>48</v>
      </c>
      <c r="AF39" s="5">
        <v>48</v>
      </c>
      <c r="AG39" s="5">
        <v>48</v>
      </c>
      <c r="AH39" s="5">
        <v>60</v>
      </c>
      <c r="AI39" s="5">
        <v>60</v>
      </c>
      <c r="AJ39" s="5">
        <v>60</v>
      </c>
      <c r="AK39" s="5">
        <v>60</v>
      </c>
      <c r="AL39" s="5">
        <v>60</v>
      </c>
      <c r="AM39" s="5">
        <v>60</v>
      </c>
      <c r="AN39" s="5">
        <v>60</v>
      </c>
      <c r="AO39" s="5">
        <v>60</v>
      </c>
      <c r="AP39" s="5">
        <v>60</v>
      </c>
      <c r="AQ39" s="5">
        <v>60</v>
      </c>
      <c r="AR39" s="5">
        <v>60</v>
      </c>
      <c r="AS39" s="5">
        <v>60</v>
      </c>
      <c r="AT39" s="5">
        <v>48</v>
      </c>
      <c r="AU39" s="5">
        <v>48</v>
      </c>
      <c r="AV39" s="5">
        <v>48</v>
      </c>
      <c r="AW39" s="5">
        <v>60</v>
      </c>
      <c r="AX39" s="5">
        <v>45</v>
      </c>
      <c r="AY39" s="5">
        <v>60</v>
      </c>
      <c r="AZ39" s="5">
        <v>48</v>
      </c>
      <c r="BA39" s="5">
        <v>55</v>
      </c>
      <c r="BB39" s="5">
        <v>55</v>
      </c>
      <c r="BC39" s="5">
        <v>60</v>
      </c>
      <c r="BD39" s="5">
        <v>17</v>
      </c>
      <c r="BE39" s="5">
        <v>17</v>
      </c>
      <c r="BF39" s="5">
        <v>22</v>
      </c>
      <c r="BG39" s="5">
        <v>34</v>
      </c>
      <c r="BH39" s="5">
        <v>44</v>
      </c>
      <c r="BI39" s="5">
        <v>44</v>
      </c>
      <c r="BJ39" s="5">
        <v>17</v>
      </c>
      <c r="BK39" s="5">
        <v>55</v>
      </c>
      <c r="BL39" s="5">
        <v>55</v>
      </c>
      <c r="BM39" s="5">
        <v>20</v>
      </c>
      <c r="BN39" s="5">
        <v>20</v>
      </c>
      <c r="BO39" s="5">
        <v>20</v>
      </c>
      <c r="BP39" s="5">
        <v>20</v>
      </c>
      <c r="BQ39" s="5">
        <v>20</v>
      </c>
      <c r="BR39" s="5">
        <v>20</v>
      </c>
      <c r="BS39" s="5">
        <v>20</v>
      </c>
      <c r="BT39" s="5">
        <v>40</v>
      </c>
      <c r="BU39" s="5">
        <v>40</v>
      </c>
      <c r="BV39" s="5">
        <v>40</v>
      </c>
      <c r="BW39" s="5">
        <v>40</v>
      </c>
      <c r="BX39" s="5">
        <v>50</v>
      </c>
      <c r="BY39" s="5">
        <v>50</v>
      </c>
      <c r="BZ39" s="5">
        <v>50</v>
      </c>
      <c r="CA39" s="5">
        <v>40</v>
      </c>
      <c r="CB39" s="5">
        <v>40</v>
      </c>
      <c r="CC39" s="5">
        <v>40</v>
      </c>
      <c r="CD39" s="5">
        <v>40</v>
      </c>
      <c r="CE39" s="5">
        <v>40</v>
      </c>
      <c r="CF39" s="5">
        <v>40</v>
      </c>
      <c r="CG39" s="5">
        <v>50</v>
      </c>
      <c r="CH39" s="5">
        <v>50</v>
      </c>
      <c r="CI39" s="5">
        <v>50</v>
      </c>
    </row>
    <row r="40" spans="1:87" x14ac:dyDescent="0.25">
      <c r="A40" s="10" t="s">
        <v>162</v>
      </c>
      <c r="B40" s="96"/>
      <c r="C40" s="5"/>
      <c r="D40" s="5"/>
      <c r="E40" s="5">
        <v>20</v>
      </c>
      <c r="F40" s="5">
        <v>20</v>
      </c>
      <c r="G40" s="5"/>
      <c r="H40" s="5"/>
      <c r="I40" s="5">
        <v>40</v>
      </c>
      <c r="J40" s="5">
        <v>40</v>
      </c>
      <c r="K40" s="5">
        <v>40</v>
      </c>
      <c r="L40" s="5">
        <v>40</v>
      </c>
      <c r="M40" s="5">
        <v>40</v>
      </c>
      <c r="N40" s="5">
        <v>40</v>
      </c>
      <c r="O40" s="5">
        <v>115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>
        <v>60</v>
      </c>
      <c r="AJ40" s="5">
        <v>60</v>
      </c>
      <c r="AK40" s="5">
        <v>60</v>
      </c>
      <c r="AL40" s="5">
        <v>60</v>
      </c>
      <c r="AM40" s="5">
        <v>60</v>
      </c>
      <c r="AN40" s="5">
        <v>60</v>
      </c>
      <c r="AO40" s="5">
        <v>60</v>
      </c>
      <c r="AP40" s="5">
        <v>60</v>
      </c>
      <c r="AQ40" s="5">
        <v>60</v>
      </c>
      <c r="AR40" s="5">
        <v>60</v>
      </c>
      <c r="AS40" s="5">
        <v>60</v>
      </c>
      <c r="AT40" s="5"/>
      <c r="AU40" s="5"/>
      <c r="AV40" s="5"/>
      <c r="AW40" s="5"/>
      <c r="AX40" s="5">
        <v>45</v>
      </c>
      <c r="AY40" s="5">
        <v>60</v>
      </c>
      <c r="AZ40" s="5">
        <v>48</v>
      </c>
      <c r="BA40" s="5">
        <v>55</v>
      </c>
      <c r="BB40" s="5">
        <v>55</v>
      </c>
      <c r="BC40" s="5">
        <v>60</v>
      </c>
      <c r="BD40" s="5"/>
      <c r="BE40" s="5"/>
      <c r="BF40" s="5"/>
      <c r="BG40" s="5"/>
      <c r="BH40" s="5"/>
      <c r="BI40" s="5">
        <v>44</v>
      </c>
      <c r="BJ40" s="5"/>
      <c r="BK40" s="5">
        <v>55</v>
      </c>
      <c r="BL40" s="5">
        <v>55</v>
      </c>
      <c r="BX40" s="5">
        <v>50</v>
      </c>
      <c r="BY40" s="5">
        <v>50</v>
      </c>
      <c r="BZ40" s="5">
        <v>50</v>
      </c>
      <c r="CD40" s="5">
        <v>40</v>
      </c>
      <c r="CE40" s="5">
        <v>40</v>
      </c>
      <c r="CF40" s="5">
        <v>40</v>
      </c>
      <c r="CG40" s="5">
        <v>50</v>
      </c>
      <c r="CH40" s="5">
        <v>50</v>
      </c>
      <c r="CI40" s="5">
        <v>50</v>
      </c>
    </row>
    <row r="41" spans="1:87" x14ac:dyDescent="0.25">
      <c r="A41" s="10" t="s">
        <v>163</v>
      </c>
      <c r="B41" s="96"/>
      <c r="C41" s="5"/>
      <c r="D41" s="5"/>
      <c r="E41" s="5"/>
      <c r="F41" s="5"/>
      <c r="G41" s="5"/>
      <c r="H41" s="5"/>
      <c r="I41" s="5">
        <v>40</v>
      </c>
      <c r="J41" s="5">
        <v>40</v>
      </c>
      <c r="K41" s="5">
        <v>40</v>
      </c>
      <c r="L41" s="5">
        <v>40</v>
      </c>
      <c r="M41" s="5">
        <v>40</v>
      </c>
      <c r="N41" s="5">
        <v>40</v>
      </c>
      <c r="O41" s="5">
        <v>115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>
        <v>60</v>
      </c>
      <c r="AL41" s="5">
        <v>60</v>
      </c>
      <c r="AM41" s="5">
        <v>60</v>
      </c>
      <c r="AN41" s="5">
        <v>60</v>
      </c>
      <c r="AO41" s="5">
        <v>60</v>
      </c>
      <c r="AP41" s="5">
        <v>60</v>
      </c>
      <c r="AQ41" s="5">
        <v>60</v>
      </c>
      <c r="AR41" s="5">
        <v>60</v>
      </c>
      <c r="AS41" s="5">
        <v>60</v>
      </c>
      <c r="AT41" s="5"/>
      <c r="AU41" s="5"/>
      <c r="AV41" s="5"/>
      <c r="AW41" s="5"/>
      <c r="AX41" s="5"/>
      <c r="AY41" s="5">
        <v>60</v>
      </c>
      <c r="AZ41" s="5">
        <v>48</v>
      </c>
      <c r="BA41" s="5">
        <v>55</v>
      </c>
      <c r="BB41" s="5">
        <v>55</v>
      </c>
      <c r="BC41" s="5">
        <v>60</v>
      </c>
      <c r="BD41" s="5"/>
      <c r="BE41" s="5"/>
      <c r="BF41" s="5"/>
      <c r="BG41" s="5"/>
      <c r="BL41" s="5">
        <v>55</v>
      </c>
      <c r="BX41" s="5">
        <v>50</v>
      </c>
      <c r="BY41" s="5">
        <v>50</v>
      </c>
      <c r="BZ41" s="5">
        <v>50</v>
      </c>
      <c r="CD41" s="5">
        <v>40</v>
      </c>
      <c r="CE41" s="5">
        <v>40</v>
      </c>
      <c r="CF41" s="5">
        <v>40</v>
      </c>
      <c r="CG41" s="5">
        <v>50</v>
      </c>
      <c r="CH41" s="5">
        <v>50</v>
      </c>
      <c r="CI41" s="5">
        <v>50</v>
      </c>
    </row>
    <row r="42" spans="1:87" x14ac:dyDescent="0.25">
      <c r="A42" s="10" t="s">
        <v>164</v>
      </c>
      <c r="B42" s="96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v>40</v>
      </c>
      <c r="N42" s="5">
        <v>40</v>
      </c>
      <c r="O42" s="5">
        <v>115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>
        <v>60</v>
      </c>
      <c r="AP42" s="5">
        <v>60</v>
      </c>
      <c r="AQ42" s="5">
        <v>60</v>
      </c>
      <c r="AR42" s="5">
        <v>60</v>
      </c>
      <c r="AS42" s="5">
        <v>60</v>
      </c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X42" s="5">
        <v>50</v>
      </c>
      <c r="BY42" s="5">
        <v>50</v>
      </c>
      <c r="BZ42" s="5">
        <v>50</v>
      </c>
      <c r="CF42" s="5">
        <v>40</v>
      </c>
      <c r="CG42" s="5">
        <v>50</v>
      </c>
      <c r="CH42" s="5">
        <v>50</v>
      </c>
      <c r="CI42" s="5">
        <v>50</v>
      </c>
    </row>
    <row r="43" spans="1:87" x14ac:dyDescent="0.25">
      <c r="A43" s="10" t="s">
        <v>165</v>
      </c>
      <c r="B43" s="96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v>40</v>
      </c>
      <c r="N43" s="5">
        <v>40</v>
      </c>
      <c r="O43" s="5">
        <v>115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>
        <v>60</v>
      </c>
      <c r="AP43" s="5">
        <v>60</v>
      </c>
      <c r="AQ43" s="5">
        <v>60</v>
      </c>
      <c r="AR43" s="5">
        <v>60</v>
      </c>
      <c r="AS43" s="5">
        <v>60</v>
      </c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X43" s="5">
        <v>50</v>
      </c>
      <c r="BY43" s="5">
        <v>50</v>
      </c>
      <c r="BZ43" s="5">
        <v>50</v>
      </c>
      <c r="CG43" s="5">
        <v>50</v>
      </c>
      <c r="CH43" s="5">
        <v>50</v>
      </c>
      <c r="CI43" s="5">
        <v>50</v>
      </c>
    </row>
    <row r="44" spans="1:87" x14ac:dyDescent="0.25">
      <c r="A44" s="10" t="s">
        <v>549</v>
      </c>
      <c r="B44" s="96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v>40</v>
      </c>
      <c r="N44" s="5">
        <v>40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X44" s="5"/>
      <c r="BY44" s="5">
        <v>50</v>
      </c>
      <c r="BZ44" s="5">
        <v>50</v>
      </c>
      <c r="CG44" s="5">
        <v>50</v>
      </c>
      <c r="CH44" s="5">
        <v>50</v>
      </c>
      <c r="CI44" s="5">
        <v>50</v>
      </c>
    </row>
    <row r="45" spans="1:87" x14ac:dyDescent="0.25">
      <c r="A45" s="10" t="s">
        <v>548</v>
      </c>
      <c r="B45" s="96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v>40</v>
      </c>
      <c r="N45" s="5">
        <v>40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X45" s="5"/>
      <c r="BY45" s="5">
        <v>50</v>
      </c>
      <c r="BZ45" s="5">
        <v>50</v>
      </c>
      <c r="CG45" s="5">
        <v>50</v>
      </c>
      <c r="CH45" s="5">
        <v>50</v>
      </c>
      <c r="CI45" s="5">
        <v>50</v>
      </c>
    </row>
    <row r="46" spans="1:87" x14ac:dyDescent="0.25">
      <c r="A46" s="10" t="s">
        <v>550</v>
      </c>
      <c r="B46" s="96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v>40</v>
      </c>
      <c r="N46" s="5">
        <v>40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X46" s="5"/>
      <c r="BY46" s="5">
        <v>50</v>
      </c>
      <c r="BZ46" s="5">
        <v>50</v>
      </c>
    </row>
    <row r="47" spans="1:87" x14ac:dyDescent="0.25">
      <c r="A47" s="10" t="s">
        <v>551</v>
      </c>
      <c r="B47" s="96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v>40</v>
      </c>
      <c r="N47" s="5">
        <v>40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X47" s="5"/>
      <c r="BY47" s="5">
        <v>50</v>
      </c>
      <c r="BZ47" s="5">
        <v>50</v>
      </c>
    </row>
    <row r="48" spans="1:87" x14ac:dyDescent="0.25">
      <c r="A48" s="10" t="s">
        <v>556</v>
      </c>
      <c r="B48" s="9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X48" s="5"/>
    </row>
    <row r="49" spans="1:87" x14ac:dyDescent="0.25">
      <c r="A49" s="10" t="s">
        <v>557</v>
      </c>
      <c r="B49" s="9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X49" s="5"/>
    </row>
    <row r="50" spans="1:87" x14ac:dyDescent="0.25">
      <c r="A50" s="10" t="s">
        <v>251</v>
      </c>
      <c r="C50" t="s">
        <v>691</v>
      </c>
      <c r="D50" t="s">
        <v>691</v>
      </c>
      <c r="E50" t="s">
        <v>692</v>
      </c>
      <c r="F50" t="s">
        <v>692</v>
      </c>
      <c r="G50" t="s">
        <v>693</v>
      </c>
      <c r="H50" t="s">
        <v>693</v>
      </c>
      <c r="I50" t="s">
        <v>693</v>
      </c>
      <c r="J50" t="s">
        <v>693</v>
      </c>
      <c r="K50" t="s">
        <v>693</v>
      </c>
      <c r="L50" t="s">
        <v>693</v>
      </c>
      <c r="M50" t="s">
        <v>693</v>
      </c>
      <c r="N50" t="s">
        <v>693</v>
      </c>
      <c r="O50" s="1"/>
      <c r="P50" t="s">
        <v>260</v>
      </c>
      <c r="Q50" t="s">
        <v>426</v>
      </c>
      <c r="R50" t="s">
        <v>427</v>
      </c>
      <c r="S50" t="s">
        <v>252</v>
      </c>
      <c r="T50" t="s">
        <v>397</v>
      </c>
      <c r="U50" t="s">
        <v>425</v>
      </c>
      <c r="V50" t="s">
        <v>425</v>
      </c>
      <c r="W50" t="s">
        <v>254</v>
      </c>
      <c r="X50" t="s">
        <v>428</v>
      </c>
      <c r="Y50" t="s">
        <v>261</v>
      </c>
      <c r="Z50" t="s">
        <v>397</v>
      </c>
      <c r="AA50" t="s">
        <v>262</v>
      </c>
      <c r="AB50" t="s">
        <v>263</v>
      </c>
      <c r="AC50" t="s">
        <v>262</v>
      </c>
      <c r="AD50" t="s">
        <v>264</v>
      </c>
      <c r="AE50" t="s">
        <v>264</v>
      </c>
      <c r="AF50" t="s">
        <v>264</v>
      </c>
      <c r="AG50" t="s">
        <v>259</v>
      </c>
      <c r="AH50" t="s">
        <v>406</v>
      </c>
      <c r="AI50" t="s">
        <v>265</v>
      </c>
      <c r="AJ50" t="s">
        <v>265</v>
      </c>
      <c r="AK50" t="s">
        <v>265</v>
      </c>
      <c r="AL50" t="s">
        <v>265</v>
      </c>
      <c r="AM50" t="s">
        <v>259</v>
      </c>
      <c r="AN50" t="s">
        <v>272</v>
      </c>
      <c r="AO50" t="s">
        <v>272</v>
      </c>
      <c r="AP50" t="s">
        <v>272</v>
      </c>
      <c r="AQ50" t="s">
        <v>272</v>
      </c>
      <c r="AR50" t="s">
        <v>272</v>
      </c>
      <c r="AS50" t="s">
        <v>272</v>
      </c>
      <c r="AT50" t="s">
        <v>258</v>
      </c>
      <c r="AU50" t="s">
        <v>257</v>
      </c>
      <c r="AV50" t="s">
        <v>257</v>
      </c>
      <c r="AW50" t="s">
        <v>257</v>
      </c>
      <c r="AX50" t="s">
        <v>257</v>
      </c>
      <c r="AY50" t="s">
        <v>257</v>
      </c>
      <c r="AZ50" t="s">
        <v>257</v>
      </c>
      <c r="BA50" t="s">
        <v>256</v>
      </c>
      <c r="BB50" t="s">
        <v>256</v>
      </c>
      <c r="BC50" t="s">
        <v>256</v>
      </c>
      <c r="BD50" t="s">
        <v>255</v>
      </c>
      <c r="BE50" t="s">
        <v>252</v>
      </c>
      <c r="BF50" t="s">
        <v>253</v>
      </c>
      <c r="BG50" t="s">
        <v>254</v>
      </c>
      <c r="BH50" t="s">
        <v>253</v>
      </c>
      <c r="BI50" t="s">
        <v>562</v>
      </c>
      <c r="BJ50" t="s">
        <v>577</v>
      </c>
      <c r="BK50" t="s">
        <v>562</v>
      </c>
      <c r="BL50" t="s">
        <v>576</v>
      </c>
      <c r="BM50" t="s">
        <v>579</v>
      </c>
      <c r="BN50" t="s">
        <v>580</v>
      </c>
      <c r="BO50" t="s">
        <v>581</v>
      </c>
      <c r="BP50" t="s">
        <v>582</v>
      </c>
      <c r="BQ50" t="s">
        <v>583</v>
      </c>
      <c r="BR50" t="s">
        <v>584</v>
      </c>
      <c r="BS50" t="s">
        <v>585</v>
      </c>
      <c r="BT50" t="s">
        <v>586</v>
      </c>
      <c r="BU50" t="s">
        <v>612</v>
      </c>
      <c r="BW50" t="s">
        <v>587</v>
      </c>
      <c r="BX50" t="s">
        <v>588</v>
      </c>
      <c r="CA50" t="s">
        <v>592</v>
      </c>
      <c r="CB50" t="s">
        <v>593</v>
      </c>
      <c r="CC50" t="s">
        <v>594</v>
      </c>
      <c r="CD50" t="s">
        <v>599</v>
      </c>
      <c r="CF50" t="s">
        <v>600</v>
      </c>
      <c r="CG50" t="s">
        <v>606</v>
      </c>
      <c r="CI50" t="s">
        <v>605</v>
      </c>
    </row>
    <row r="51" spans="1:87" x14ac:dyDescent="0.25">
      <c r="A51" s="10" t="s">
        <v>297</v>
      </c>
      <c r="C51" t="s">
        <v>298</v>
      </c>
      <c r="D51" t="s">
        <v>298</v>
      </c>
      <c r="E51" t="s">
        <v>298</v>
      </c>
      <c r="F51" t="s">
        <v>298</v>
      </c>
      <c r="G51" t="s">
        <v>299</v>
      </c>
      <c r="H51" t="s">
        <v>299</v>
      </c>
      <c r="I51" t="s">
        <v>300</v>
      </c>
      <c r="J51" t="s">
        <v>299</v>
      </c>
      <c r="K51" t="s">
        <v>299</v>
      </c>
      <c r="L51" t="s">
        <v>299</v>
      </c>
      <c r="M51" t="s">
        <v>299</v>
      </c>
      <c r="N51" t="s">
        <v>299</v>
      </c>
      <c r="O51" t="s">
        <v>694</v>
      </c>
      <c r="P51" t="s">
        <v>298</v>
      </c>
      <c r="Q51" t="s">
        <v>298</v>
      </c>
      <c r="R51" t="s">
        <v>298</v>
      </c>
      <c r="S51" t="s">
        <v>298</v>
      </c>
      <c r="T51" t="s">
        <v>298</v>
      </c>
      <c r="U51" t="s">
        <v>298</v>
      </c>
      <c r="V51" t="s">
        <v>298</v>
      </c>
      <c r="W51" t="s">
        <v>298</v>
      </c>
      <c r="X51" t="s">
        <v>298</v>
      </c>
      <c r="Y51" t="s">
        <v>298</v>
      </c>
      <c r="Z51" t="s">
        <v>298</v>
      </c>
      <c r="AA51" t="s">
        <v>299</v>
      </c>
      <c r="AB51" t="s">
        <v>299</v>
      </c>
      <c r="AC51" t="s">
        <v>299</v>
      </c>
      <c r="AD51" t="s">
        <v>299</v>
      </c>
      <c r="AE51" t="s">
        <v>299</v>
      </c>
      <c r="AF51" t="s">
        <v>299</v>
      </c>
      <c r="AG51" t="s">
        <v>299</v>
      </c>
      <c r="AH51" t="s">
        <v>299</v>
      </c>
      <c r="AI51" t="s">
        <v>299</v>
      </c>
      <c r="AJ51" t="s">
        <v>299</v>
      </c>
      <c r="AK51" t="s">
        <v>299</v>
      </c>
      <c r="AL51" t="s">
        <v>299</v>
      </c>
      <c r="AM51" t="s">
        <v>299</v>
      </c>
      <c r="AN51" t="s">
        <v>299</v>
      </c>
      <c r="AO51" t="s">
        <v>299</v>
      </c>
      <c r="AP51" t="s">
        <v>299</v>
      </c>
      <c r="AQ51" t="s">
        <v>299</v>
      </c>
      <c r="AR51" t="s">
        <v>299</v>
      </c>
      <c r="AS51" t="s">
        <v>299</v>
      </c>
      <c r="AT51" t="s">
        <v>300</v>
      </c>
      <c r="AU51" t="s">
        <v>300</v>
      </c>
      <c r="AV51" t="s">
        <v>300</v>
      </c>
      <c r="AW51" t="s">
        <v>300</v>
      </c>
      <c r="AX51" t="s">
        <v>300</v>
      </c>
      <c r="AY51" t="s">
        <v>300</v>
      </c>
      <c r="AZ51" t="s">
        <v>300</v>
      </c>
      <c r="BA51" t="s">
        <v>300</v>
      </c>
      <c r="BB51" t="s">
        <v>300</v>
      </c>
      <c r="BC51" t="s">
        <v>300</v>
      </c>
      <c r="BD51" t="s">
        <v>616</v>
      </c>
      <c r="BE51" t="s">
        <v>616</v>
      </c>
      <c r="BF51" t="s">
        <v>615</v>
      </c>
      <c r="BG51" t="s">
        <v>616</v>
      </c>
      <c r="BH51" t="s">
        <v>615</v>
      </c>
      <c r="BI51" t="s">
        <v>616</v>
      </c>
      <c r="BJ51" t="s">
        <v>614</v>
      </c>
      <c r="BK51" t="s">
        <v>613</v>
      </c>
      <c r="BL51" t="s">
        <v>613</v>
      </c>
      <c r="BM51" t="s">
        <v>298</v>
      </c>
      <c r="BN51" t="s">
        <v>298</v>
      </c>
      <c r="BO51" t="s">
        <v>298</v>
      </c>
      <c r="BP51" t="s">
        <v>298</v>
      </c>
      <c r="BQ51" t="s">
        <v>298</v>
      </c>
      <c r="BR51" t="s">
        <v>298</v>
      </c>
      <c r="BS51" t="s">
        <v>299</v>
      </c>
      <c r="BT51" t="s">
        <v>299</v>
      </c>
      <c r="BU51" t="s">
        <v>299</v>
      </c>
      <c r="BV51" t="s">
        <v>299</v>
      </c>
      <c r="BW51" t="s">
        <v>299</v>
      </c>
      <c r="BX51" t="s">
        <v>299</v>
      </c>
      <c r="BY51" t="s">
        <v>299</v>
      </c>
      <c r="BZ51" t="s">
        <v>299</v>
      </c>
      <c r="CA51" t="s">
        <v>300</v>
      </c>
      <c r="CB51" t="s">
        <v>300</v>
      </c>
      <c r="CC51" t="s">
        <v>300</v>
      </c>
      <c r="CD51" t="s">
        <v>300</v>
      </c>
      <c r="CE51" t="s">
        <v>300</v>
      </c>
      <c r="CF51" t="s">
        <v>300</v>
      </c>
      <c r="CG51" t="s">
        <v>300</v>
      </c>
      <c r="CH51" t="s">
        <v>300</v>
      </c>
      <c r="CI51" t="s">
        <v>300</v>
      </c>
    </row>
    <row r="60" spans="1:87" x14ac:dyDescent="0.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</sheetData>
  <sheetProtection algorithmName="SHA-512" hashValue="X4qsQSS7qslkdrmDkyxIGS88Z7nttXTmVHhkyc+e02A4ixeLfNt2zXLUT9SAj5D4mIJqCYDxcoEKZZmB4iN50Q==" saltValue="wq5wWTU8Z2NP4p5MUMpMjw==" spinCount="100000" sheet="1" selectLockedCells="1"/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4D60-C046-4205-AC6E-FE9167E066F3}">
  <sheetPr codeName="Planilha3"/>
  <dimension ref="A2:CN48"/>
  <sheetViews>
    <sheetView workbookViewId="0">
      <pane xSplit="1" topLeftCell="B1" activePane="topRight" state="frozen"/>
      <selection pane="topRight" activeCell="AE35" sqref="AE35"/>
    </sheetView>
  </sheetViews>
  <sheetFormatPr defaultColWidth="14.28515625" defaultRowHeight="15" x14ac:dyDescent="0.25"/>
  <cols>
    <col min="1" max="1" width="46.28515625" customWidth="1"/>
    <col min="3" max="3" width="14.28515625" style="1"/>
  </cols>
  <sheetData>
    <row r="2" spans="1:22" x14ac:dyDescent="0.25">
      <c r="D2" s="1"/>
    </row>
    <row r="4" spans="1:22" x14ac:dyDescent="0.25">
      <c r="D4" s="123"/>
      <c r="E4" s="123"/>
      <c r="F4" s="123"/>
      <c r="G4" s="123"/>
      <c r="H4" s="123"/>
    </row>
    <row r="5" spans="1:22" x14ac:dyDescent="0.25">
      <c r="B5" s="31" t="s">
        <v>172</v>
      </c>
      <c r="C5" s="4"/>
      <c r="D5" s="123"/>
      <c r="E5" s="123"/>
      <c r="F5" s="123"/>
      <c r="G5" s="123"/>
      <c r="H5" s="123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2" x14ac:dyDescent="0.25">
      <c r="A6" s="2"/>
      <c r="B6" s="98" t="s">
        <v>173</v>
      </c>
      <c r="C6" s="4" t="s">
        <v>482</v>
      </c>
      <c r="D6" s="4" t="s">
        <v>481</v>
      </c>
      <c r="E6" s="4" t="s">
        <v>637</v>
      </c>
      <c r="F6" s="4" t="s">
        <v>638</v>
      </c>
      <c r="G6" s="4" t="s">
        <v>639</v>
      </c>
      <c r="H6" s="4" t="s">
        <v>640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x14ac:dyDescent="0.25">
      <c r="A7" s="3" t="s">
        <v>7</v>
      </c>
      <c r="B7" s="8"/>
      <c r="C7" s="1">
        <v>555</v>
      </c>
      <c r="D7" s="1">
        <v>555</v>
      </c>
      <c r="E7" s="1">
        <v>585</v>
      </c>
      <c r="F7" s="1">
        <v>585</v>
      </c>
      <c r="G7" s="1">
        <v>585</v>
      </c>
      <c r="H7" s="1">
        <v>660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x14ac:dyDescent="0.25">
      <c r="A8" s="3" t="s">
        <v>11</v>
      </c>
      <c r="B8" s="8"/>
      <c r="C8" s="1">
        <v>-0.27500000000000002</v>
      </c>
      <c r="D8" s="1">
        <v>-0.27</v>
      </c>
      <c r="E8" s="1">
        <v>-0.25</v>
      </c>
      <c r="F8" s="1">
        <v>-0.25</v>
      </c>
      <c r="G8" s="1">
        <v>-0.25</v>
      </c>
      <c r="H8" s="1">
        <v>-0.27400000000000002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x14ac:dyDescent="0.25">
      <c r="A9" s="3" t="s">
        <v>12</v>
      </c>
      <c r="B9" s="8"/>
      <c r="C9" s="1">
        <v>4.4999999999999998E-2</v>
      </c>
      <c r="D9" s="1">
        <v>4.8000000000000001E-2</v>
      </c>
      <c r="E9" s="1">
        <v>4.2999999999999997E-2</v>
      </c>
      <c r="F9" s="1">
        <v>0.06</v>
      </c>
      <c r="G9" s="1">
        <v>4.8000000000000001E-2</v>
      </c>
      <c r="H9" s="1">
        <v>4.4999999999999998E-2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x14ac:dyDescent="0.25">
      <c r="A10" s="3" t="s">
        <v>13</v>
      </c>
      <c r="B10" s="8"/>
      <c r="C10" s="1">
        <v>-0.35</v>
      </c>
      <c r="D10" s="1">
        <v>-0.35</v>
      </c>
      <c r="E10" s="1">
        <v>-0.28999999999999998</v>
      </c>
      <c r="F10" s="1">
        <v>-0.31</v>
      </c>
      <c r="G10" s="1">
        <v>-0.28999999999999998</v>
      </c>
      <c r="H10" s="1">
        <v>-0.34899999999999998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x14ac:dyDescent="0.25">
      <c r="A11" s="3" t="s">
        <v>14</v>
      </c>
      <c r="B11" s="8"/>
      <c r="C11" s="1">
        <v>42.76</v>
      </c>
      <c r="D11" s="1">
        <v>42.1</v>
      </c>
      <c r="E11" s="1">
        <v>44.08</v>
      </c>
      <c r="F11" s="1">
        <v>43.61</v>
      </c>
      <c r="G11" s="1">
        <v>44.04</v>
      </c>
      <c r="H11" s="1">
        <v>38.700000000000003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x14ac:dyDescent="0.25">
      <c r="A12" s="3" t="s">
        <v>198</v>
      </c>
      <c r="B12" s="8"/>
      <c r="C12" s="1">
        <v>50.22</v>
      </c>
      <c r="D12" s="1">
        <v>49.95</v>
      </c>
      <c r="E12" s="1">
        <v>52.45</v>
      </c>
      <c r="F12" s="1">
        <v>52.19</v>
      </c>
      <c r="G12" s="1">
        <v>52.7</v>
      </c>
      <c r="H12" s="1">
        <v>45.8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x14ac:dyDescent="0.25">
      <c r="A13" s="3" t="s">
        <v>16</v>
      </c>
      <c r="B13" s="8"/>
      <c r="C13" s="1">
        <v>12.98</v>
      </c>
      <c r="D13" s="1">
        <v>13.19</v>
      </c>
      <c r="E13" s="1">
        <v>13.27</v>
      </c>
      <c r="F13" s="1">
        <v>13.43</v>
      </c>
      <c r="G13" s="1">
        <v>13.3</v>
      </c>
      <c r="H13" s="1">
        <v>17.239999999999998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2" x14ac:dyDescent="0.25">
      <c r="A14" s="3" t="s">
        <v>197</v>
      </c>
      <c r="B14" s="8"/>
      <c r="C14" s="1">
        <v>13.86</v>
      </c>
      <c r="D14" s="1">
        <v>14.04</v>
      </c>
      <c r="E14" s="1">
        <v>14.08</v>
      </c>
      <c r="F14" s="1">
        <v>14.08</v>
      </c>
      <c r="G14" s="1">
        <v>14.05</v>
      </c>
      <c r="H14" s="1">
        <v>18.47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idden="1" x14ac:dyDescent="0.25">
      <c r="A15" s="3" t="s">
        <v>5</v>
      </c>
      <c r="B15" s="8"/>
      <c r="C15" s="83"/>
      <c r="D15" s="83"/>
      <c r="E15" s="1"/>
      <c r="F15" s="1"/>
      <c r="G15" s="1"/>
      <c r="H15" s="1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22" hidden="1" x14ac:dyDescent="0.25">
      <c r="A16" s="3" t="s">
        <v>6</v>
      </c>
      <c r="B16" s="8"/>
      <c r="C16" s="6"/>
      <c r="D16" s="6"/>
      <c r="E16" s="1"/>
      <c r="F16" s="1"/>
      <c r="G16" s="1"/>
      <c r="H16" s="1"/>
      <c r="I16" s="6"/>
      <c r="J16" s="6"/>
      <c r="K16" s="6"/>
      <c r="L16" s="6"/>
      <c r="M16" s="6"/>
      <c r="N16" s="6"/>
      <c r="O16" s="6"/>
      <c r="P16" s="6"/>
      <c r="Q16" s="6"/>
      <c r="R16" s="6" t="e">
        <f t="shared" ref="R16:S16" si="0">R15/R7</f>
        <v>#DIV/0!</v>
      </c>
      <c r="S16" s="6" t="e">
        <f t="shared" si="0"/>
        <v>#DIV/0!</v>
      </c>
      <c r="U16" s="4"/>
      <c r="V16" s="4"/>
    </row>
    <row r="17" spans="1:92" x14ac:dyDescent="0.25">
      <c r="A17" s="105" t="s">
        <v>251</v>
      </c>
      <c r="B17" s="107"/>
      <c r="C17" s="1" t="s">
        <v>403</v>
      </c>
      <c r="D17" s="1" t="s">
        <v>476</v>
      </c>
      <c r="E17" s="1" t="s">
        <v>562</v>
      </c>
      <c r="F17" s="1" t="s">
        <v>645</v>
      </c>
      <c r="G17" s="1" t="s">
        <v>644</v>
      </c>
      <c r="H17" s="1" t="s">
        <v>655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4"/>
      <c r="V17" s="4"/>
    </row>
    <row r="18" spans="1:92" x14ac:dyDescent="0.25">
      <c r="A18" s="105" t="s">
        <v>268</v>
      </c>
      <c r="B18" s="107"/>
      <c r="C18" s="1" t="s">
        <v>401</v>
      </c>
      <c r="D18" s="1" t="s">
        <v>477</v>
      </c>
      <c r="E18" s="1" t="s">
        <v>654</v>
      </c>
      <c r="F18" s="1" t="s">
        <v>642</v>
      </c>
      <c r="G18" s="1" t="s">
        <v>643</v>
      </c>
      <c r="H18" s="1" t="s">
        <v>707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U18" s="4"/>
      <c r="V18" s="4"/>
    </row>
    <row r="19" spans="1:92" x14ac:dyDescent="0.25">
      <c r="A19" s="105" t="s">
        <v>326</v>
      </c>
      <c r="B19" s="107"/>
      <c r="C19" s="1" t="s">
        <v>348</v>
      </c>
      <c r="D19" s="1" t="s">
        <v>348</v>
      </c>
      <c r="E19" s="1" t="s">
        <v>348</v>
      </c>
      <c r="F19" s="1" t="s">
        <v>348</v>
      </c>
      <c r="G19" s="1" t="s">
        <v>348</v>
      </c>
      <c r="H19" s="1" t="s">
        <v>347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U19" s="4"/>
      <c r="V19" s="4"/>
    </row>
    <row r="20" spans="1:92" x14ac:dyDescent="0.25">
      <c r="A20" s="105" t="s">
        <v>327</v>
      </c>
      <c r="B20" s="107"/>
      <c r="C20" s="1" t="s">
        <v>402</v>
      </c>
      <c r="D20" s="1" t="s">
        <v>341</v>
      </c>
      <c r="E20" s="1" t="s">
        <v>641</v>
      </c>
      <c r="F20" s="1" t="s">
        <v>647</v>
      </c>
      <c r="G20" s="1" t="s">
        <v>479</v>
      </c>
      <c r="H20" s="1" t="s">
        <v>656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U20" s="4"/>
      <c r="V20" s="4"/>
    </row>
    <row r="21" spans="1:92" s="19" customFormat="1" x14ac:dyDescent="0.25">
      <c r="A21" s="130" t="s">
        <v>444</v>
      </c>
      <c r="B21" s="131"/>
      <c r="C21" s="132">
        <v>2</v>
      </c>
      <c r="D21" s="132">
        <v>2</v>
      </c>
      <c r="E21" s="23">
        <v>2</v>
      </c>
      <c r="F21" s="23">
        <v>2</v>
      </c>
      <c r="G21" s="23">
        <v>1</v>
      </c>
      <c r="H21" s="23">
        <v>1</v>
      </c>
      <c r="I21" s="132"/>
      <c r="J21" s="23"/>
      <c r="K21" s="23"/>
      <c r="L21" s="23"/>
      <c r="M21" s="23"/>
      <c r="N21" s="23"/>
      <c r="O21" s="23"/>
      <c r="P21" s="23"/>
      <c r="Q21" s="23"/>
      <c r="R21" s="23"/>
      <c r="S21" s="23"/>
      <c r="U21" s="133"/>
      <c r="V21" s="133"/>
    </row>
    <row r="22" spans="1:92" x14ac:dyDescent="0.25">
      <c r="A22" s="3" t="s">
        <v>212</v>
      </c>
      <c r="B22" s="104" t="str">
        <f t="shared" ref="B22:L22" si="1">IF(B11&gt;B12,"Vmp &gt; Voc","")</f>
        <v/>
      </c>
      <c r="C22" s="124" t="str">
        <f>IF(X38&gt;X39,"Vmp &gt; Voc","")</f>
        <v/>
      </c>
      <c r="D22" s="104" t="str">
        <f t="shared" ref="D22:K22" si="2">IF(D11&gt;D12,"Vmp &gt; Voc","")</f>
        <v/>
      </c>
      <c r="E22" s="104" t="str">
        <f>IF(C11&gt;C12,"Vmp &gt; Voc","")</f>
        <v/>
      </c>
      <c r="F22" s="104" t="str">
        <f>IF(AG38&gt;AG39,"Vmp &gt; Voc","")</f>
        <v/>
      </c>
      <c r="G22" s="104" t="str">
        <f>IF(AH38&gt;AH39,"Vmp &gt; Voc","")</f>
        <v/>
      </c>
      <c r="H22" s="104" t="str">
        <f>IF(AD38&gt;AD39,"Vmp &gt; Voc","")</f>
        <v/>
      </c>
      <c r="I22" s="104" t="str">
        <f t="shared" si="2"/>
        <v/>
      </c>
      <c r="J22" s="104" t="str">
        <f t="shared" si="2"/>
        <v/>
      </c>
      <c r="K22" s="104" t="str">
        <f t="shared" si="2"/>
        <v/>
      </c>
      <c r="L22" s="104" t="str">
        <f t="shared" si="1"/>
        <v/>
      </c>
      <c r="M22" s="104" t="str">
        <f t="shared" ref="M22:BD22" si="3">IF(M11&gt;M12,"Vmp &gt; Voc","")</f>
        <v/>
      </c>
      <c r="N22" s="104" t="str">
        <f t="shared" si="3"/>
        <v/>
      </c>
      <c r="O22" s="104" t="str">
        <f t="shared" si="3"/>
        <v/>
      </c>
      <c r="P22" s="104" t="str">
        <f t="shared" si="3"/>
        <v/>
      </c>
      <c r="Q22" s="104" t="str">
        <f t="shared" si="3"/>
        <v/>
      </c>
      <c r="R22" s="104" t="str">
        <f t="shared" si="3"/>
        <v/>
      </c>
      <c r="S22" s="104" t="str">
        <f t="shared" si="3"/>
        <v/>
      </c>
      <c r="T22" s="104" t="str">
        <f t="shared" si="3"/>
        <v/>
      </c>
      <c r="U22" s="104" t="str">
        <f t="shared" si="3"/>
        <v/>
      </c>
      <c r="V22" s="104" t="str">
        <f t="shared" si="3"/>
        <v/>
      </c>
      <c r="W22" s="104" t="str">
        <f t="shared" si="3"/>
        <v/>
      </c>
      <c r="X22" s="104" t="str">
        <f t="shared" si="3"/>
        <v/>
      </c>
      <c r="Y22" s="104" t="str">
        <f t="shared" si="3"/>
        <v/>
      </c>
      <c r="Z22" s="104" t="str">
        <f t="shared" si="3"/>
        <v/>
      </c>
      <c r="AA22" s="104" t="str">
        <f t="shared" si="3"/>
        <v/>
      </c>
      <c r="AB22" s="104" t="str">
        <f t="shared" si="3"/>
        <v/>
      </c>
      <c r="AC22" s="104" t="str">
        <f t="shared" si="3"/>
        <v/>
      </c>
      <c r="AD22" s="104" t="str">
        <f t="shared" si="3"/>
        <v/>
      </c>
      <c r="AE22" s="104" t="str">
        <f t="shared" si="3"/>
        <v/>
      </c>
      <c r="AF22" s="104" t="str">
        <f t="shared" si="3"/>
        <v/>
      </c>
      <c r="AG22" s="104" t="str">
        <f t="shared" si="3"/>
        <v/>
      </c>
      <c r="AH22" s="104" t="str">
        <f t="shared" si="3"/>
        <v/>
      </c>
      <c r="AI22" s="104" t="str">
        <f t="shared" si="3"/>
        <v/>
      </c>
      <c r="AJ22" s="104" t="str">
        <f t="shared" si="3"/>
        <v/>
      </c>
      <c r="AK22" s="104" t="str">
        <f t="shared" si="3"/>
        <v/>
      </c>
      <c r="AL22" s="104" t="str">
        <f t="shared" si="3"/>
        <v/>
      </c>
      <c r="AM22" s="104" t="str">
        <f t="shared" si="3"/>
        <v/>
      </c>
      <c r="AN22" s="104" t="str">
        <f t="shared" si="3"/>
        <v/>
      </c>
      <c r="AO22" s="104" t="str">
        <f t="shared" si="3"/>
        <v/>
      </c>
      <c r="AP22" s="104" t="str">
        <f t="shared" si="3"/>
        <v/>
      </c>
      <c r="AQ22" s="104" t="str">
        <f t="shared" si="3"/>
        <v/>
      </c>
      <c r="AR22" s="104" t="str">
        <f t="shared" si="3"/>
        <v/>
      </c>
      <c r="AS22" s="104" t="str">
        <f t="shared" si="3"/>
        <v/>
      </c>
      <c r="AT22" s="104" t="str">
        <f t="shared" si="3"/>
        <v/>
      </c>
      <c r="AU22" s="104" t="str">
        <f t="shared" si="3"/>
        <v/>
      </c>
      <c r="AV22" s="104" t="str">
        <f t="shared" si="3"/>
        <v/>
      </c>
      <c r="AW22" s="104" t="str">
        <f t="shared" si="3"/>
        <v/>
      </c>
      <c r="AX22" s="104" t="str">
        <f t="shared" si="3"/>
        <v/>
      </c>
      <c r="AY22" s="104" t="str">
        <f t="shared" si="3"/>
        <v/>
      </c>
      <c r="AZ22" s="104" t="str">
        <f t="shared" si="3"/>
        <v/>
      </c>
      <c r="BA22" s="104" t="str">
        <f t="shared" si="3"/>
        <v/>
      </c>
      <c r="BB22" s="104" t="str">
        <f t="shared" si="3"/>
        <v/>
      </c>
      <c r="BC22" s="104" t="str">
        <f t="shared" si="3"/>
        <v/>
      </c>
      <c r="BD22" s="104" t="str">
        <f t="shared" si="3"/>
        <v/>
      </c>
      <c r="BE22" s="104" t="str">
        <f t="shared" ref="BE22:BJ22" si="4">IF(BE11&gt;BE12,"Vmp &gt; Voc","")</f>
        <v/>
      </c>
      <c r="BF22" s="104" t="str">
        <f t="shared" si="4"/>
        <v/>
      </c>
      <c r="BG22" s="104" t="str">
        <f t="shared" si="4"/>
        <v/>
      </c>
      <c r="BH22" s="104" t="str">
        <f t="shared" si="4"/>
        <v/>
      </c>
      <c r="BI22" s="104" t="str">
        <f t="shared" si="4"/>
        <v/>
      </c>
      <c r="BJ22" s="104" t="str">
        <f t="shared" si="4"/>
        <v/>
      </c>
      <c r="BK22" s="104" t="str">
        <f t="shared" ref="BK22:CN22" si="5">IF(BK11&gt;BK12,"Vmp &gt; Voc","")</f>
        <v/>
      </c>
      <c r="BL22" s="104" t="str">
        <f t="shared" si="5"/>
        <v/>
      </c>
      <c r="BM22" s="104" t="str">
        <f t="shared" si="5"/>
        <v/>
      </c>
      <c r="BN22" s="104" t="str">
        <f t="shared" si="5"/>
        <v/>
      </c>
      <c r="BO22" s="104" t="str">
        <f t="shared" si="5"/>
        <v/>
      </c>
      <c r="BP22" s="104" t="str">
        <f t="shared" si="5"/>
        <v/>
      </c>
      <c r="BQ22" s="104" t="str">
        <f t="shared" si="5"/>
        <v/>
      </c>
      <c r="BR22" s="104" t="str">
        <f t="shared" si="5"/>
        <v/>
      </c>
      <c r="BS22" s="104" t="str">
        <f t="shared" si="5"/>
        <v/>
      </c>
      <c r="BT22" s="104" t="str">
        <f t="shared" si="5"/>
        <v/>
      </c>
      <c r="BU22" s="104" t="str">
        <f t="shared" si="5"/>
        <v/>
      </c>
      <c r="BV22" s="104" t="str">
        <f t="shared" si="5"/>
        <v/>
      </c>
      <c r="BW22" s="104" t="str">
        <f t="shared" si="5"/>
        <v/>
      </c>
      <c r="BX22" s="104" t="str">
        <f t="shared" si="5"/>
        <v/>
      </c>
      <c r="BY22" s="104" t="str">
        <f t="shared" si="5"/>
        <v/>
      </c>
      <c r="BZ22" s="104" t="str">
        <f t="shared" si="5"/>
        <v/>
      </c>
      <c r="CA22" s="104" t="str">
        <f t="shared" si="5"/>
        <v/>
      </c>
      <c r="CB22" s="104" t="str">
        <f t="shared" si="5"/>
        <v/>
      </c>
      <c r="CC22" s="104" t="str">
        <f t="shared" si="5"/>
        <v/>
      </c>
      <c r="CD22" s="104" t="str">
        <f t="shared" si="5"/>
        <v/>
      </c>
      <c r="CE22" s="104" t="str">
        <f t="shared" si="5"/>
        <v/>
      </c>
      <c r="CF22" s="104" t="str">
        <f t="shared" si="5"/>
        <v/>
      </c>
      <c r="CG22" s="104" t="str">
        <f t="shared" si="5"/>
        <v/>
      </c>
      <c r="CH22" s="104" t="str">
        <f t="shared" si="5"/>
        <v/>
      </c>
      <c r="CI22" s="104" t="str">
        <f t="shared" si="5"/>
        <v/>
      </c>
      <c r="CJ22" s="104" t="str">
        <f t="shared" si="5"/>
        <v/>
      </c>
      <c r="CK22" s="104" t="str">
        <f t="shared" si="5"/>
        <v/>
      </c>
      <c r="CL22" s="104" t="str">
        <f t="shared" si="5"/>
        <v/>
      </c>
      <c r="CM22" s="104" t="str">
        <f t="shared" si="5"/>
        <v/>
      </c>
      <c r="CN22" s="104" t="str">
        <f t="shared" si="5"/>
        <v/>
      </c>
    </row>
    <row r="23" spans="1:92" x14ac:dyDescent="0.25">
      <c r="A23" s="3" t="s">
        <v>213</v>
      </c>
      <c r="B23" s="104" t="str">
        <f t="shared" ref="B23:L23" si="6">IF(B13&gt;B14,"Vmp &gt; Voc","")</f>
        <v/>
      </c>
      <c r="C23" s="124" t="str">
        <f>IF(X40&gt;X41,"Vmp &gt; Voc","")</f>
        <v/>
      </c>
      <c r="D23" s="104" t="str">
        <f t="shared" ref="D23:K23" si="7">IF(D13&gt;D14,"Vmp &gt; Voc","")</f>
        <v/>
      </c>
      <c r="E23" s="104" t="str">
        <f>IF(C13&gt;C14,"Vmp &gt; Voc","")</f>
        <v/>
      </c>
      <c r="F23" s="104" t="str">
        <f>IF(AG40&gt;AG41,"Vmp &gt; Voc","")</f>
        <v/>
      </c>
      <c r="G23" s="104" t="str">
        <f>IF(AH40&gt;AH41,"Vmp &gt; Voc","")</f>
        <v/>
      </c>
      <c r="H23" s="104" t="str">
        <f>IF(AD40&gt;AD41,"Vmp &gt; Voc","")</f>
        <v/>
      </c>
      <c r="I23" s="104" t="str">
        <f t="shared" si="7"/>
        <v/>
      </c>
      <c r="J23" s="104" t="str">
        <f t="shared" si="7"/>
        <v/>
      </c>
      <c r="K23" s="104" t="str">
        <f t="shared" si="7"/>
        <v/>
      </c>
      <c r="L23" s="104" t="str">
        <f t="shared" si="6"/>
        <v/>
      </c>
      <c r="M23" s="104" t="str">
        <f t="shared" ref="M23:BD23" si="8">IF(M13&gt;M14,"Vmp &gt; Voc","")</f>
        <v/>
      </c>
      <c r="N23" s="104" t="str">
        <f t="shared" si="8"/>
        <v/>
      </c>
      <c r="O23" s="104" t="str">
        <f t="shared" si="8"/>
        <v/>
      </c>
      <c r="P23" s="104" t="str">
        <f t="shared" si="8"/>
        <v/>
      </c>
      <c r="Q23" s="104" t="str">
        <f t="shared" si="8"/>
        <v/>
      </c>
      <c r="R23" s="104" t="str">
        <f t="shared" si="8"/>
        <v/>
      </c>
      <c r="S23" s="104" t="str">
        <f t="shared" si="8"/>
        <v/>
      </c>
      <c r="T23" s="104" t="str">
        <f t="shared" si="8"/>
        <v/>
      </c>
      <c r="U23" s="104" t="str">
        <f t="shared" si="8"/>
        <v/>
      </c>
      <c r="V23" s="104" t="str">
        <f t="shared" si="8"/>
        <v/>
      </c>
      <c r="W23" s="104" t="str">
        <f t="shared" si="8"/>
        <v/>
      </c>
      <c r="X23" s="104" t="str">
        <f t="shared" si="8"/>
        <v/>
      </c>
      <c r="Y23" s="104" t="str">
        <f t="shared" si="8"/>
        <v/>
      </c>
      <c r="Z23" s="104" t="str">
        <f t="shared" si="8"/>
        <v/>
      </c>
      <c r="AA23" s="104" t="str">
        <f t="shared" si="8"/>
        <v/>
      </c>
      <c r="AB23" s="104" t="str">
        <f t="shared" si="8"/>
        <v/>
      </c>
      <c r="AC23" s="104" t="str">
        <f t="shared" si="8"/>
        <v/>
      </c>
      <c r="AD23" s="104" t="str">
        <f t="shared" si="8"/>
        <v/>
      </c>
      <c r="AE23" s="104" t="str">
        <f t="shared" si="8"/>
        <v/>
      </c>
      <c r="AF23" s="104" t="str">
        <f t="shared" si="8"/>
        <v/>
      </c>
      <c r="AG23" s="104" t="str">
        <f t="shared" si="8"/>
        <v/>
      </c>
      <c r="AH23" s="104" t="str">
        <f t="shared" si="8"/>
        <v/>
      </c>
      <c r="AI23" s="104" t="str">
        <f t="shared" si="8"/>
        <v/>
      </c>
      <c r="AJ23" s="104" t="str">
        <f t="shared" si="8"/>
        <v/>
      </c>
      <c r="AK23" s="104" t="str">
        <f t="shared" si="8"/>
        <v/>
      </c>
      <c r="AL23" s="104" t="str">
        <f t="shared" si="8"/>
        <v/>
      </c>
      <c r="AM23" s="104" t="str">
        <f t="shared" si="8"/>
        <v/>
      </c>
      <c r="AN23" s="104" t="str">
        <f t="shared" si="8"/>
        <v/>
      </c>
      <c r="AO23" s="104" t="str">
        <f t="shared" si="8"/>
        <v/>
      </c>
      <c r="AP23" s="104" t="str">
        <f t="shared" si="8"/>
        <v/>
      </c>
      <c r="AQ23" s="104" t="str">
        <f t="shared" si="8"/>
        <v/>
      </c>
      <c r="AR23" s="104" t="str">
        <f t="shared" si="8"/>
        <v/>
      </c>
      <c r="AS23" s="104" t="str">
        <f t="shared" si="8"/>
        <v/>
      </c>
      <c r="AT23" s="104" t="str">
        <f t="shared" si="8"/>
        <v/>
      </c>
      <c r="AU23" s="104" t="str">
        <f t="shared" si="8"/>
        <v/>
      </c>
      <c r="AV23" s="104" t="str">
        <f t="shared" si="8"/>
        <v/>
      </c>
      <c r="AW23" s="104" t="str">
        <f t="shared" si="8"/>
        <v/>
      </c>
      <c r="AX23" s="104" t="str">
        <f t="shared" si="8"/>
        <v/>
      </c>
      <c r="AY23" s="104" t="str">
        <f t="shared" si="8"/>
        <v/>
      </c>
      <c r="AZ23" s="104" t="str">
        <f t="shared" si="8"/>
        <v/>
      </c>
      <c r="BA23" s="104" t="str">
        <f t="shared" si="8"/>
        <v/>
      </c>
      <c r="BB23" s="104" t="str">
        <f t="shared" si="8"/>
        <v/>
      </c>
      <c r="BC23" s="104" t="str">
        <f t="shared" si="8"/>
        <v/>
      </c>
      <c r="BD23" s="104" t="str">
        <f t="shared" si="8"/>
        <v/>
      </c>
      <c r="BE23" s="104" t="str">
        <f t="shared" ref="BE23:BJ23" si="9">IF(BE13&gt;BE14,"Vmp &gt; Voc","")</f>
        <v/>
      </c>
      <c r="BF23" s="104" t="str">
        <f t="shared" si="9"/>
        <v/>
      </c>
      <c r="BG23" s="104" t="str">
        <f t="shared" si="9"/>
        <v/>
      </c>
      <c r="BH23" s="104" t="str">
        <f t="shared" si="9"/>
        <v/>
      </c>
      <c r="BI23" s="104" t="str">
        <f t="shared" si="9"/>
        <v/>
      </c>
      <c r="BJ23" s="104" t="str">
        <f t="shared" si="9"/>
        <v/>
      </c>
      <c r="BK23" s="104" t="str">
        <f t="shared" ref="BK23:CN23" si="10">IF(BK13&gt;BK14,"Vmp &gt; Voc","")</f>
        <v/>
      </c>
      <c r="BL23" s="104" t="str">
        <f t="shared" si="10"/>
        <v/>
      </c>
      <c r="BM23" s="104" t="str">
        <f t="shared" si="10"/>
        <v/>
      </c>
      <c r="BN23" s="104" t="str">
        <f t="shared" si="10"/>
        <v/>
      </c>
      <c r="BO23" s="104" t="str">
        <f t="shared" si="10"/>
        <v/>
      </c>
      <c r="BP23" s="104" t="str">
        <f t="shared" si="10"/>
        <v/>
      </c>
      <c r="BQ23" s="104" t="str">
        <f t="shared" si="10"/>
        <v/>
      </c>
      <c r="BR23" s="104" t="str">
        <f t="shared" si="10"/>
        <v/>
      </c>
      <c r="BS23" s="104" t="str">
        <f t="shared" si="10"/>
        <v/>
      </c>
      <c r="BT23" s="104" t="str">
        <f t="shared" si="10"/>
        <v/>
      </c>
      <c r="BU23" s="104" t="str">
        <f t="shared" si="10"/>
        <v/>
      </c>
      <c r="BV23" s="104" t="str">
        <f t="shared" si="10"/>
        <v/>
      </c>
      <c r="BW23" s="104" t="str">
        <f t="shared" si="10"/>
        <v/>
      </c>
      <c r="BX23" s="104" t="str">
        <f t="shared" si="10"/>
        <v/>
      </c>
      <c r="BY23" s="104" t="str">
        <f t="shared" si="10"/>
        <v/>
      </c>
      <c r="BZ23" s="104" t="str">
        <f t="shared" si="10"/>
        <v/>
      </c>
      <c r="CA23" s="104" t="str">
        <f t="shared" si="10"/>
        <v/>
      </c>
      <c r="CB23" s="104" t="str">
        <f t="shared" si="10"/>
        <v/>
      </c>
      <c r="CC23" s="104" t="str">
        <f t="shared" si="10"/>
        <v/>
      </c>
      <c r="CD23" s="104" t="str">
        <f t="shared" si="10"/>
        <v/>
      </c>
      <c r="CE23" s="104" t="str">
        <f t="shared" si="10"/>
        <v/>
      </c>
      <c r="CF23" s="104" t="str">
        <f t="shared" si="10"/>
        <v/>
      </c>
      <c r="CG23" s="104" t="str">
        <f t="shared" si="10"/>
        <v/>
      </c>
      <c r="CH23" s="104" t="str">
        <f t="shared" si="10"/>
        <v/>
      </c>
      <c r="CI23" s="104" t="str">
        <f t="shared" si="10"/>
        <v/>
      </c>
      <c r="CJ23" s="104" t="str">
        <f t="shared" si="10"/>
        <v/>
      </c>
      <c r="CK23" s="104" t="str">
        <f t="shared" si="10"/>
        <v/>
      </c>
      <c r="CL23" s="104" t="str">
        <f t="shared" si="10"/>
        <v/>
      </c>
      <c r="CM23" s="104" t="str">
        <f t="shared" si="10"/>
        <v/>
      </c>
      <c r="CN23" s="104" t="str">
        <f t="shared" si="10"/>
        <v/>
      </c>
    </row>
    <row r="24" spans="1:92" x14ac:dyDescent="0.25">
      <c r="A24" s="3" t="s">
        <v>216</v>
      </c>
      <c r="B24" t="str">
        <f t="shared" ref="B24:L24" si="11">IF(B8&gt;0,"Coef tensão POSITIVO","")</f>
        <v/>
      </c>
      <c r="C24" s="1" t="str">
        <f>IF(X35&gt;0,"Coef tensão POSITIVO","")</f>
        <v/>
      </c>
      <c r="D24" t="str">
        <f t="shared" ref="D24:K24" si="12">IF(D8&gt;0,"Coef tensão POSITIVO","")</f>
        <v/>
      </c>
      <c r="E24" t="str">
        <f>IF(C8&gt;0,"Coef tensão POSITIVO","")</f>
        <v/>
      </c>
      <c r="F24" t="str">
        <f>IF(AG35&gt;0,"Coef tensão POSITIVO","")</f>
        <v/>
      </c>
      <c r="G24" t="str">
        <f>IF(AH35&gt;0,"Coef tensão POSITIVO","")</f>
        <v/>
      </c>
      <c r="H24" t="str">
        <f>IF(AD35&gt;0,"Coef tensão POSITIVO","")</f>
        <v/>
      </c>
      <c r="I24" t="str">
        <f t="shared" si="12"/>
        <v/>
      </c>
      <c r="J24" t="str">
        <f t="shared" si="12"/>
        <v/>
      </c>
      <c r="K24" t="str">
        <f t="shared" si="12"/>
        <v/>
      </c>
      <c r="L24" t="str">
        <f t="shared" si="11"/>
        <v/>
      </c>
      <c r="M24" t="str">
        <f t="shared" ref="M24:BD24" si="13">IF(M8&gt;0,"Coef tensão POSITIVO","")</f>
        <v/>
      </c>
      <c r="N24" t="str">
        <f t="shared" si="13"/>
        <v/>
      </c>
      <c r="O24" t="str">
        <f t="shared" si="13"/>
        <v/>
      </c>
      <c r="P24" t="str">
        <f t="shared" si="13"/>
        <v/>
      </c>
      <c r="Q24" t="str">
        <f t="shared" si="13"/>
        <v/>
      </c>
      <c r="R24" t="str">
        <f t="shared" si="13"/>
        <v/>
      </c>
      <c r="S24" t="str">
        <f t="shared" si="13"/>
        <v/>
      </c>
      <c r="T24" t="str">
        <f t="shared" si="13"/>
        <v/>
      </c>
      <c r="U24" t="str">
        <f t="shared" si="13"/>
        <v/>
      </c>
      <c r="V24" t="str">
        <f t="shared" si="13"/>
        <v/>
      </c>
      <c r="W24" t="str">
        <f t="shared" si="13"/>
        <v/>
      </c>
      <c r="X24" t="str">
        <f t="shared" si="13"/>
        <v/>
      </c>
      <c r="Y24" t="str">
        <f t="shared" si="13"/>
        <v/>
      </c>
      <c r="Z24" t="str">
        <f t="shared" si="13"/>
        <v/>
      </c>
      <c r="AA24" t="str">
        <f t="shared" si="13"/>
        <v/>
      </c>
      <c r="AB24" t="str">
        <f t="shared" si="13"/>
        <v/>
      </c>
      <c r="AC24" t="str">
        <f t="shared" si="13"/>
        <v/>
      </c>
      <c r="AD24" t="str">
        <f t="shared" si="13"/>
        <v/>
      </c>
      <c r="AE24" t="str">
        <f t="shared" si="13"/>
        <v/>
      </c>
      <c r="AF24" t="str">
        <f t="shared" si="13"/>
        <v/>
      </c>
      <c r="AG24" t="str">
        <f t="shared" si="13"/>
        <v/>
      </c>
      <c r="AH24" t="str">
        <f t="shared" si="13"/>
        <v/>
      </c>
      <c r="AI24" t="str">
        <f t="shared" si="13"/>
        <v/>
      </c>
      <c r="AJ24" t="str">
        <f t="shared" si="13"/>
        <v/>
      </c>
      <c r="AK24" t="str">
        <f t="shared" si="13"/>
        <v/>
      </c>
      <c r="AL24" t="str">
        <f t="shared" si="13"/>
        <v/>
      </c>
      <c r="AM24" t="str">
        <f t="shared" si="13"/>
        <v/>
      </c>
      <c r="AN24" t="str">
        <f t="shared" si="13"/>
        <v/>
      </c>
      <c r="AO24" t="str">
        <f t="shared" si="13"/>
        <v/>
      </c>
      <c r="AP24" t="str">
        <f t="shared" si="13"/>
        <v/>
      </c>
      <c r="AQ24" t="str">
        <f t="shared" si="13"/>
        <v/>
      </c>
      <c r="AR24" t="str">
        <f t="shared" si="13"/>
        <v/>
      </c>
      <c r="AS24" t="str">
        <f t="shared" si="13"/>
        <v/>
      </c>
      <c r="AT24" t="str">
        <f t="shared" si="13"/>
        <v/>
      </c>
      <c r="AU24" t="str">
        <f t="shared" si="13"/>
        <v/>
      </c>
      <c r="AV24" t="str">
        <f t="shared" si="13"/>
        <v/>
      </c>
      <c r="AW24" t="str">
        <f t="shared" si="13"/>
        <v/>
      </c>
      <c r="AX24" t="str">
        <f t="shared" si="13"/>
        <v/>
      </c>
      <c r="AY24" t="str">
        <f t="shared" si="13"/>
        <v/>
      </c>
      <c r="AZ24" t="str">
        <f t="shared" si="13"/>
        <v/>
      </c>
      <c r="BA24" t="str">
        <f t="shared" si="13"/>
        <v/>
      </c>
      <c r="BB24" t="str">
        <f t="shared" si="13"/>
        <v/>
      </c>
      <c r="BC24" t="str">
        <f t="shared" si="13"/>
        <v/>
      </c>
      <c r="BD24" t="str">
        <f t="shared" si="13"/>
        <v/>
      </c>
      <c r="BE24" t="str">
        <f t="shared" ref="BE24:BJ24" si="14">IF(BE8&gt;0,"Coef tensão POSITIVO","")</f>
        <v/>
      </c>
      <c r="BF24" t="str">
        <f t="shared" si="14"/>
        <v/>
      </c>
      <c r="BG24" t="str">
        <f t="shared" si="14"/>
        <v/>
      </c>
      <c r="BH24" t="str">
        <f t="shared" si="14"/>
        <v/>
      </c>
      <c r="BI24" t="str">
        <f t="shared" si="14"/>
        <v/>
      </c>
      <c r="BJ24" t="str">
        <f t="shared" si="14"/>
        <v/>
      </c>
      <c r="BK24" t="str">
        <f t="shared" ref="BK24:CN24" si="15">IF(BK8&gt;0,"Coef tensão POSITIVO","")</f>
        <v/>
      </c>
      <c r="BL24" t="str">
        <f t="shared" si="15"/>
        <v/>
      </c>
      <c r="BM24" t="str">
        <f t="shared" si="15"/>
        <v/>
      </c>
      <c r="BN24" t="str">
        <f t="shared" si="15"/>
        <v/>
      </c>
      <c r="BO24" t="str">
        <f t="shared" si="15"/>
        <v/>
      </c>
      <c r="BP24" t="str">
        <f t="shared" si="15"/>
        <v/>
      </c>
      <c r="BQ24" t="str">
        <f t="shared" si="15"/>
        <v/>
      </c>
      <c r="BR24" t="str">
        <f t="shared" si="15"/>
        <v/>
      </c>
      <c r="BS24" t="str">
        <f t="shared" si="15"/>
        <v/>
      </c>
      <c r="BT24" t="str">
        <f t="shared" si="15"/>
        <v/>
      </c>
      <c r="BU24" t="str">
        <f t="shared" si="15"/>
        <v/>
      </c>
      <c r="BV24" t="str">
        <f t="shared" si="15"/>
        <v/>
      </c>
      <c r="BW24" t="str">
        <f t="shared" si="15"/>
        <v/>
      </c>
      <c r="BX24" t="str">
        <f t="shared" si="15"/>
        <v/>
      </c>
      <c r="BY24" t="str">
        <f t="shared" si="15"/>
        <v/>
      </c>
      <c r="BZ24" t="str">
        <f t="shared" si="15"/>
        <v/>
      </c>
      <c r="CA24" t="str">
        <f t="shared" si="15"/>
        <v/>
      </c>
      <c r="CB24" t="str">
        <f t="shared" si="15"/>
        <v/>
      </c>
      <c r="CC24" t="str">
        <f t="shared" si="15"/>
        <v/>
      </c>
      <c r="CD24" t="str">
        <f t="shared" si="15"/>
        <v/>
      </c>
      <c r="CE24" t="str">
        <f t="shared" si="15"/>
        <v/>
      </c>
      <c r="CF24" t="str">
        <f t="shared" si="15"/>
        <v/>
      </c>
      <c r="CG24" t="str">
        <f t="shared" si="15"/>
        <v/>
      </c>
      <c r="CH24" t="str">
        <f t="shared" si="15"/>
        <v/>
      </c>
      <c r="CI24" t="str">
        <f t="shared" si="15"/>
        <v/>
      </c>
      <c r="CJ24" t="str">
        <f t="shared" si="15"/>
        <v/>
      </c>
      <c r="CK24" t="str">
        <f t="shared" si="15"/>
        <v/>
      </c>
      <c r="CL24" t="str">
        <f t="shared" si="15"/>
        <v/>
      </c>
      <c r="CM24" t="str">
        <f t="shared" si="15"/>
        <v/>
      </c>
      <c r="CN24" t="str">
        <f t="shared" si="15"/>
        <v/>
      </c>
    </row>
    <row r="25" spans="1:92" x14ac:dyDescent="0.25">
      <c r="A25" s="105" t="s">
        <v>217</v>
      </c>
      <c r="B25" t="str">
        <f t="shared" ref="B25:L25" si="16">IF(B9&lt;0,"Coef corrente NEGATIVO","")</f>
        <v/>
      </c>
      <c r="C25" s="1" t="str">
        <f>IF(X36&lt;0,"Coef corrente NEGATIVO","")</f>
        <v/>
      </c>
      <c r="D25" t="str">
        <f t="shared" ref="D25:K25" si="17">IF(D9&lt;0,"Coef corrente NEGATIVO","")</f>
        <v/>
      </c>
      <c r="E25" t="str">
        <f>IF(C9&lt;0,"Coef corrente NEGATIVO","")</f>
        <v/>
      </c>
      <c r="F25" t="str">
        <f>IF(AG36&lt;0,"Coef corrente NEGATIVO","")</f>
        <v/>
      </c>
      <c r="G25" t="str">
        <f>IF(AH36&lt;0,"Coef corrente NEGATIVO","")</f>
        <v/>
      </c>
      <c r="H25" t="str">
        <f>IF(AD36&lt;0,"Coef corrente NEGATIVO","")</f>
        <v/>
      </c>
      <c r="I25" t="str">
        <f t="shared" si="17"/>
        <v/>
      </c>
      <c r="J25" t="str">
        <f t="shared" si="17"/>
        <v/>
      </c>
      <c r="K25" t="str">
        <f t="shared" si="17"/>
        <v/>
      </c>
      <c r="L25" t="str">
        <f t="shared" si="16"/>
        <v/>
      </c>
      <c r="M25" t="str">
        <f t="shared" ref="M25:BD25" si="18">IF(M9&lt;0,"Coef corrente NEGATIVO","")</f>
        <v/>
      </c>
      <c r="N25" t="str">
        <f t="shared" si="18"/>
        <v/>
      </c>
      <c r="O25" t="str">
        <f t="shared" si="18"/>
        <v/>
      </c>
      <c r="P25" t="str">
        <f t="shared" si="18"/>
        <v/>
      </c>
      <c r="Q25" t="str">
        <f t="shared" si="18"/>
        <v/>
      </c>
      <c r="R25" t="str">
        <f t="shared" si="18"/>
        <v/>
      </c>
      <c r="S25" t="str">
        <f t="shared" si="18"/>
        <v/>
      </c>
      <c r="T25" t="str">
        <f t="shared" si="18"/>
        <v/>
      </c>
      <c r="U25" t="str">
        <f t="shared" si="18"/>
        <v/>
      </c>
      <c r="V25" t="str">
        <f t="shared" si="18"/>
        <v/>
      </c>
      <c r="W25" t="str">
        <f t="shared" si="18"/>
        <v/>
      </c>
      <c r="X25" t="str">
        <f t="shared" si="18"/>
        <v/>
      </c>
      <c r="Y25" t="str">
        <f t="shared" si="18"/>
        <v/>
      </c>
      <c r="Z25" t="str">
        <f t="shared" si="18"/>
        <v/>
      </c>
      <c r="AA25" t="str">
        <f t="shared" si="18"/>
        <v/>
      </c>
      <c r="AB25" t="str">
        <f t="shared" si="18"/>
        <v/>
      </c>
      <c r="AC25" t="str">
        <f t="shared" si="18"/>
        <v/>
      </c>
      <c r="AD25" t="str">
        <f t="shared" si="18"/>
        <v/>
      </c>
      <c r="AE25" t="str">
        <f t="shared" si="18"/>
        <v/>
      </c>
      <c r="AF25" t="str">
        <f t="shared" si="18"/>
        <v/>
      </c>
      <c r="AG25" t="str">
        <f t="shared" si="18"/>
        <v/>
      </c>
      <c r="AH25" t="str">
        <f t="shared" si="18"/>
        <v/>
      </c>
      <c r="AI25" t="str">
        <f t="shared" si="18"/>
        <v/>
      </c>
      <c r="AJ25" t="str">
        <f t="shared" si="18"/>
        <v/>
      </c>
      <c r="AK25" t="str">
        <f t="shared" si="18"/>
        <v/>
      </c>
      <c r="AL25" t="str">
        <f t="shared" si="18"/>
        <v/>
      </c>
      <c r="AM25" t="str">
        <f t="shared" si="18"/>
        <v/>
      </c>
      <c r="AN25" t="str">
        <f t="shared" si="18"/>
        <v/>
      </c>
      <c r="AO25" t="str">
        <f t="shared" si="18"/>
        <v/>
      </c>
      <c r="AP25" t="str">
        <f t="shared" si="18"/>
        <v/>
      </c>
      <c r="AQ25" t="str">
        <f t="shared" si="18"/>
        <v/>
      </c>
      <c r="AR25" t="str">
        <f t="shared" si="18"/>
        <v/>
      </c>
      <c r="AS25" t="str">
        <f t="shared" si="18"/>
        <v/>
      </c>
      <c r="AT25" t="str">
        <f t="shared" si="18"/>
        <v/>
      </c>
      <c r="AU25" t="str">
        <f t="shared" si="18"/>
        <v/>
      </c>
      <c r="AV25" t="str">
        <f t="shared" si="18"/>
        <v/>
      </c>
      <c r="AW25" t="str">
        <f t="shared" si="18"/>
        <v/>
      </c>
      <c r="AX25" t="str">
        <f t="shared" si="18"/>
        <v/>
      </c>
      <c r="AY25" t="str">
        <f t="shared" si="18"/>
        <v/>
      </c>
      <c r="AZ25" t="str">
        <f t="shared" si="18"/>
        <v/>
      </c>
      <c r="BA25" t="str">
        <f t="shared" si="18"/>
        <v/>
      </c>
      <c r="BB25" t="str">
        <f t="shared" si="18"/>
        <v/>
      </c>
      <c r="BC25" t="str">
        <f t="shared" si="18"/>
        <v/>
      </c>
      <c r="BD25" t="str">
        <f t="shared" si="18"/>
        <v/>
      </c>
      <c r="BE25" t="str">
        <f t="shared" ref="BE25:BJ25" si="19">IF(BE9&lt;0,"Coef corrente NEGATIVO","")</f>
        <v/>
      </c>
      <c r="BF25" t="str">
        <f t="shared" si="19"/>
        <v/>
      </c>
      <c r="BG25" t="str">
        <f t="shared" si="19"/>
        <v/>
      </c>
      <c r="BH25" t="str">
        <f t="shared" si="19"/>
        <v/>
      </c>
      <c r="BI25" t="str">
        <f t="shared" si="19"/>
        <v/>
      </c>
      <c r="BJ25" t="str">
        <f t="shared" si="19"/>
        <v/>
      </c>
      <c r="BK25" t="str">
        <f t="shared" ref="BK25:CN25" si="20">IF(BK9&lt;0,"Coef corrente NEGATIVO","")</f>
        <v/>
      </c>
      <c r="BL25" t="str">
        <f t="shared" si="20"/>
        <v/>
      </c>
      <c r="BM25" t="str">
        <f t="shared" si="20"/>
        <v/>
      </c>
      <c r="BN25" t="str">
        <f t="shared" si="20"/>
        <v/>
      </c>
      <c r="BO25" t="str">
        <f t="shared" si="20"/>
        <v/>
      </c>
      <c r="BP25" t="str">
        <f t="shared" si="20"/>
        <v/>
      </c>
      <c r="BQ25" t="str">
        <f t="shared" si="20"/>
        <v/>
      </c>
      <c r="BR25" t="str">
        <f t="shared" si="20"/>
        <v/>
      </c>
      <c r="BS25" t="str">
        <f t="shared" si="20"/>
        <v/>
      </c>
      <c r="BT25" t="str">
        <f t="shared" si="20"/>
        <v/>
      </c>
      <c r="BU25" t="str">
        <f t="shared" si="20"/>
        <v/>
      </c>
      <c r="BV25" t="str">
        <f t="shared" si="20"/>
        <v/>
      </c>
      <c r="BW25" t="str">
        <f t="shared" si="20"/>
        <v/>
      </c>
      <c r="BX25" t="str">
        <f t="shared" si="20"/>
        <v/>
      </c>
      <c r="BY25" t="str">
        <f t="shared" si="20"/>
        <v/>
      </c>
      <c r="BZ25" t="str">
        <f t="shared" si="20"/>
        <v/>
      </c>
      <c r="CA25" t="str">
        <f t="shared" si="20"/>
        <v/>
      </c>
      <c r="CB25" t="str">
        <f t="shared" si="20"/>
        <v/>
      </c>
      <c r="CC25" t="str">
        <f t="shared" si="20"/>
        <v/>
      </c>
      <c r="CD25" t="str">
        <f t="shared" si="20"/>
        <v/>
      </c>
      <c r="CE25" t="str">
        <f t="shared" si="20"/>
        <v/>
      </c>
      <c r="CF25" t="str">
        <f t="shared" si="20"/>
        <v/>
      </c>
      <c r="CG25" t="str">
        <f t="shared" si="20"/>
        <v/>
      </c>
      <c r="CH25" t="str">
        <f t="shared" si="20"/>
        <v/>
      </c>
      <c r="CI25" t="str">
        <f t="shared" si="20"/>
        <v/>
      </c>
      <c r="CJ25" t="str">
        <f t="shared" si="20"/>
        <v/>
      </c>
      <c r="CK25" t="str">
        <f t="shared" si="20"/>
        <v/>
      </c>
      <c r="CL25" t="str">
        <f t="shared" si="20"/>
        <v/>
      </c>
      <c r="CM25" t="str">
        <f t="shared" si="20"/>
        <v/>
      </c>
      <c r="CN25" t="str">
        <f t="shared" si="20"/>
        <v/>
      </c>
    </row>
    <row r="26" spans="1:92" x14ac:dyDescent="0.25">
      <c r="A26" s="105" t="s">
        <v>218</v>
      </c>
      <c r="B26" t="str">
        <f t="shared" ref="B26:L26" si="21">IF(B10&gt;0,"Coef potência POSITIVO","")</f>
        <v/>
      </c>
      <c r="C26" s="1" t="str">
        <f>IF(X37&gt;0,"Coef potência POSITIVO","")</f>
        <v/>
      </c>
      <c r="D26" t="str">
        <f t="shared" ref="D26:K26" si="22">IF(D10&gt;0,"Coef potência POSITIVO","")</f>
        <v/>
      </c>
      <c r="E26" t="str">
        <f>IF(C10&gt;0,"Coef potência POSITIVO","")</f>
        <v/>
      </c>
      <c r="F26" t="str">
        <f>IF(AG37&gt;0,"Coef potência POSITIVO","")</f>
        <v/>
      </c>
      <c r="G26" t="str">
        <f>IF(AH37&gt;0,"Coef potência POSITIVO","")</f>
        <v/>
      </c>
      <c r="H26" t="str">
        <f>IF(AD37&gt;0,"Coef potência POSITIVO","")</f>
        <v/>
      </c>
      <c r="I26" t="str">
        <f t="shared" si="22"/>
        <v/>
      </c>
      <c r="J26" t="str">
        <f t="shared" si="22"/>
        <v/>
      </c>
      <c r="K26" t="str">
        <f t="shared" si="22"/>
        <v/>
      </c>
      <c r="L26" t="str">
        <f t="shared" si="21"/>
        <v/>
      </c>
      <c r="M26" t="str">
        <f t="shared" ref="M26:BD26" si="23">IF(M10&gt;0,"Coef potência POSITIVO","")</f>
        <v/>
      </c>
      <c r="N26" t="str">
        <f t="shared" si="23"/>
        <v/>
      </c>
      <c r="O26" t="str">
        <f t="shared" si="23"/>
        <v/>
      </c>
      <c r="P26" t="str">
        <f t="shared" si="23"/>
        <v/>
      </c>
      <c r="Q26" t="str">
        <f t="shared" si="23"/>
        <v/>
      </c>
      <c r="R26" t="str">
        <f t="shared" si="23"/>
        <v/>
      </c>
      <c r="S26" t="str">
        <f t="shared" si="23"/>
        <v/>
      </c>
      <c r="T26" t="str">
        <f t="shared" si="23"/>
        <v/>
      </c>
      <c r="U26" t="str">
        <f t="shared" si="23"/>
        <v/>
      </c>
      <c r="V26" t="str">
        <f t="shared" si="23"/>
        <v/>
      </c>
      <c r="W26" t="str">
        <f t="shared" si="23"/>
        <v/>
      </c>
      <c r="X26" t="str">
        <f t="shared" si="23"/>
        <v/>
      </c>
      <c r="Y26" t="str">
        <f t="shared" si="23"/>
        <v/>
      </c>
      <c r="Z26" t="str">
        <f t="shared" si="23"/>
        <v/>
      </c>
      <c r="AA26" t="str">
        <f t="shared" si="23"/>
        <v/>
      </c>
      <c r="AB26" t="str">
        <f t="shared" si="23"/>
        <v/>
      </c>
      <c r="AC26" t="str">
        <f t="shared" si="23"/>
        <v/>
      </c>
      <c r="AD26" t="str">
        <f t="shared" si="23"/>
        <v/>
      </c>
      <c r="AE26" t="str">
        <f t="shared" si="23"/>
        <v/>
      </c>
      <c r="AF26" t="str">
        <f t="shared" si="23"/>
        <v/>
      </c>
      <c r="AG26" t="str">
        <f t="shared" si="23"/>
        <v/>
      </c>
      <c r="AH26" t="str">
        <f t="shared" si="23"/>
        <v/>
      </c>
      <c r="AI26" t="str">
        <f t="shared" si="23"/>
        <v/>
      </c>
      <c r="AJ26" t="str">
        <f t="shared" si="23"/>
        <v/>
      </c>
      <c r="AK26" t="str">
        <f t="shared" si="23"/>
        <v/>
      </c>
      <c r="AL26" t="str">
        <f t="shared" si="23"/>
        <v/>
      </c>
      <c r="AM26" t="str">
        <f t="shared" si="23"/>
        <v/>
      </c>
      <c r="AN26" t="str">
        <f t="shared" si="23"/>
        <v/>
      </c>
      <c r="AO26" t="str">
        <f t="shared" si="23"/>
        <v/>
      </c>
      <c r="AP26" t="str">
        <f t="shared" si="23"/>
        <v/>
      </c>
      <c r="AQ26" t="str">
        <f t="shared" si="23"/>
        <v/>
      </c>
      <c r="AR26" t="str">
        <f t="shared" si="23"/>
        <v/>
      </c>
      <c r="AS26" t="str">
        <f t="shared" si="23"/>
        <v/>
      </c>
      <c r="AT26" t="str">
        <f t="shared" si="23"/>
        <v/>
      </c>
      <c r="AU26" t="str">
        <f t="shared" si="23"/>
        <v/>
      </c>
      <c r="AV26" t="str">
        <f t="shared" si="23"/>
        <v/>
      </c>
      <c r="AW26" t="str">
        <f t="shared" si="23"/>
        <v/>
      </c>
      <c r="AX26" t="str">
        <f t="shared" si="23"/>
        <v/>
      </c>
      <c r="AY26" t="str">
        <f t="shared" si="23"/>
        <v/>
      </c>
      <c r="AZ26" t="str">
        <f t="shared" si="23"/>
        <v/>
      </c>
      <c r="BA26" t="str">
        <f t="shared" si="23"/>
        <v/>
      </c>
      <c r="BB26" t="str">
        <f t="shared" si="23"/>
        <v/>
      </c>
      <c r="BC26" t="str">
        <f t="shared" si="23"/>
        <v/>
      </c>
      <c r="BD26" t="str">
        <f t="shared" si="23"/>
        <v/>
      </c>
      <c r="BE26" t="str">
        <f t="shared" ref="BE26:BJ26" si="24">IF(BE10&gt;0,"Coef potência POSITIVO","")</f>
        <v/>
      </c>
      <c r="BF26" t="str">
        <f t="shared" si="24"/>
        <v/>
      </c>
      <c r="BG26" t="str">
        <f t="shared" si="24"/>
        <v/>
      </c>
      <c r="BH26" t="str">
        <f t="shared" si="24"/>
        <v/>
      </c>
      <c r="BI26" t="str">
        <f t="shared" si="24"/>
        <v/>
      </c>
      <c r="BJ26" t="str">
        <f t="shared" si="24"/>
        <v/>
      </c>
      <c r="BK26" t="str">
        <f t="shared" ref="BK26:CN26" si="25">IF(BK10&gt;0,"Coef potência POSITIVO","")</f>
        <v/>
      </c>
      <c r="BL26" t="str">
        <f t="shared" si="25"/>
        <v/>
      </c>
      <c r="BM26" t="str">
        <f t="shared" si="25"/>
        <v/>
      </c>
      <c r="BN26" t="str">
        <f t="shared" si="25"/>
        <v/>
      </c>
      <c r="BO26" t="str">
        <f t="shared" si="25"/>
        <v/>
      </c>
      <c r="BP26" t="str">
        <f t="shared" si="25"/>
        <v/>
      </c>
      <c r="BQ26" t="str">
        <f t="shared" si="25"/>
        <v/>
      </c>
      <c r="BR26" t="str">
        <f t="shared" si="25"/>
        <v/>
      </c>
      <c r="BS26" t="str">
        <f t="shared" si="25"/>
        <v/>
      </c>
      <c r="BT26" t="str">
        <f t="shared" si="25"/>
        <v/>
      </c>
      <c r="BU26" t="str">
        <f t="shared" si="25"/>
        <v/>
      </c>
      <c r="BV26" t="str">
        <f t="shared" si="25"/>
        <v/>
      </c>
      <c r="BW26" t="str">
        <f t="shared" si="25"/>
        <v/>
      </c>
      <c r="BX26" t="str">
        <f t="shared" si="25"/>
        <v/>
      </c>
      <c r="BY26" t="str">
        <f t="shared" si="25"/>
        <v/>
      </c>
      <c r="BZ26" t="str">
        <f t="shared" si="25"/>
        <v/>
      </c>
      <c r="CA26" t="str">
        <f t="shared" si="25"/>
        <v/>
      </c>
      <c r="CB26" t="str">
        <f t="shared" si="25"/>
        <v/>
      </c>
      <c r="CC26" t="str">
        <f t="shared" si="25"/>
        <v/>
      </c>
      <c r="CD26" t="str">
        <f t="shared" si="25"/>
        <v/>
      </c>
      <c r="CE26" t="str">
        <f t="shared" si="25"/>
        <v/>
      </c>
      <c r="CF26" t="str">
        <f t="shared" si="25"/>
        <v/>
      </c>
      <c r="CG26" t="str">
        <f t="shared" si="25"/>
        <v/>
      </c>
      <c r="CH26" t="str">
        <f t="shared" si="25"/>
        <v/>
      </c>
      <c r="CI26" t="str">
        <f t="shared" si="25"/>
        <v/>
      </c>
      <c r="CJ26" t="str">
        <f t="shared" si="25"/>
        <v/>
      </c>
      <c r="CK26" t="str">
        <f t="shared" si="25"/>
        <v/>
      </c>
      <c r="CL26" t="str">
        <f t="shared" si="25"/>
        <v/>
      </c>
      <c r="CM26" t="str">
        <f t="shared" si="25"/>
        <v/>
      </c>
      <c r="CN26" t="str">
        <f t="shared" si="25"/>
        <v/>
      </c>
    </row>
    <row r="27" spans="1:92" x14ac:dyDescent="0.25">
      <c r="A27" s="134" t="s">
        <v>646</v>
      </c>
      <c r="B27" s="5"/>
      <c r="U27" s="1"/>
      <c r="V27" s="1"/>
    </row>
    <row r="28" spans="1:92" x14ac:dyDescent="0.25">
      <c r="A28" s="105"/>
      <c r="B28" s="5"/>
      <c r="U28" s="1"/>
      <c r="V28" s="1"/>
    </row>
    <row r="29" spans="1:92" x14ac:dyDescent="0.25">
      <c r="U29" s="1"/>
      <c r="V29" s="1"/>
    </row>
    <row r="31" spans="1:92" x14ac:dyDescent="0.25">
      <c r="Q31" t="s">
        <v>280</v>
      </c>
      <c r="Y31" s="122" t="s">
        <v>343</v>
      </c>
      <c r="Z31" s="123"/>
      <c r="AA31" s="122" t="s">
        <v>343</v>
      </c>
      <c r="AB31" s="122" t="s">
        <v>343</v>
      </c>
    </row>
    <row r="32" spans="1:92" x14ac:dyDescent="0.25">
      <c r="A32" s="51" t="s">
        <v>269</v>
      </c>
      <c r="Q32" t="s">
        <v>279</v>
      </c>
      <c r="Y32" s="122" t="s">
        <v>342</v>
      </c>
      <c r="Z32" s="123"/>
      <c r="AA32" s="122" t="s">
        <v>342</v>
      </c>
      <c r="AB32" s="122" t="s">
        <v>342</v>
      </c>
    </row>
    <row r="33" spans="2:34" x14ac:dyDescent="0.25">
      <c r="B33" s="4" t="s">
        <v>45</v>
      </c>
      <c r="C33" s="4" t="s">
        <v>46</v>
      </c>
      <c r="D33" s="4" t="s">
        <v>47</v>
      </c>
      <c r="E33" s="4" t="s">
        <v>116</v>
      </c>
      <c r="F33" s="4" t="s">
        <v>114</v>
      </c>
      <c r="G33" s="4" t="s">
        <v>200</v>
      </c>
      <c r="H33" s="4" t="s">
        <v>48</v>
      </c>
      <c r="I33" s="4" t="s">
        <v>210</v>
      </c>
      <c r="J33" s="4" t="s">
        <v>209</v>
      </c>
      <c r="K33" s="4" t="s">
        <v>215</v>
      </c>
      <c r="L33" s="4" t="s">
        <v>192</v>
      </c>
      <c r="M33" s="4" t="s">
        <v>201</v>
      </c>
      <c r="N33" s="4" t="s">
        <v>232</v>
      </c>
      <c r="O33" s="4" t="s">
        <v>233</v>
      </c>
      <c r="P33" s="4" t="s">
        <v>208</v>
      </c>
      <c r="Q33" s="4" t="s">
        <v>270</v>
      </c>
      <c r="R33" s="4" t="s">
        <v>115</v>
      </c>
      <c r="S33" s="4" t="s">
        <v>234</v>
      </c>
      <c r="T33" s="4" t="s">
        <v>335</v>
      </c>
      <c r="U33" s="4" t="s">
        <v>336</v>
      </c>
      <c r="V33" s="4" t="s">
        <v>339</v>
      </c>
      <c r="W33" s="4" t="s">
        <v>388</v>
      </c>
      <c r="X33" s="4" t="s">
        <v>336</v>
      </c>
      <c r="Y33" s="16" t="s">
        <v>434</v>
      </c>
      <c r="Z33" s="4" t="s">
        <v>407</v>
      </c>
      <c r="AA33" s="4" t="s">
        <v>337</v>
      </c>
      <c r="AB33" s="4" t="s">
        <v>345</v>
      </c>
      <c r="AC33" s="121" t="s">
        <v>433</v>
      </c>
      <c r="AD33" s="4" t="s">
        <v>485</v>
      </c>
      <c r="AE33" s="4" t="s">
        <v>483</v>
      </c>
      <c r="AF33" s="4" t="s">
        <v>484</v>
      </c>
      <c r="AG33" s="4" t="s">
        <v>483</v>
      </c>
      <c r="AH33" s="4" t="s">
        <v>484</v>
      </c>
    </row>
    <row r="34" spans="2:34" x14ac:dyDescent="0.25">
      <c r="B34" s="1">
        <v>320</v>
      </c>
      <c r="C34" s="1">
        <v>330</v>
      </c>
      <c r="D34" s="1">
        <v>400</v>
      </c>
      <c r="E34" s="1">
        <v>440</v>
      </c>
      <c r="F34" s="1">
        <v>540</v>
      </c>
      <c r="G34" s="1">
        <v>545</v>
      </c>
      <c r="H34" s="1">
        <v>340</v>
      </c>
      <c r="I34" s="1">
        <v>540</v>
      </c>
      <c r="J34" s="1">
        <v>550</v>
      </c>
      <c r="K34" s="1">
        <v>550</v>
      </c>
      <c r="L34" s="1">
        <v>450</v>
      </c>
      <c r="M34" s="1">
        <v>545</v>
      </c>
      <c r="N34" s="1">
        <v>450</v>
      </c>
      <c r="O34" s="1">
        <v>465</v>
      </c>
      <c r="P34" s="1">
        <v>550</v>
      </c>
      <c r="Q34" s="1">
        <v>665</v>
      </c>
      <c r="R34" s="1">
        <v>550</v>
      </c>
      <c r="S34" s="1">
        <v>550</v>
      </c>
      <c r="T34" s="1">
        <v>550</v>
      </c>
      <c r="U34" s="1">
        <v>555</v>
      </c>
      <c r="V34" s="1">
        <v>555</v>
      </c>
      <c r="W34" s="1">
        <v>580</v>
      </c>
      <c r="X34" s="1">
        <v>555</v>
      </c>
      <c r="Y34" s="1">
        <v>560</v>
      </c>
      <c r="Z34" s="1">
        <v>575</v>
      </c>
      <c r="AA34" s="1">
        <v>575</v>
      </c>
      <c r="AB34" s="1">
        <v>665</v>
      </c>
      <c r="AC34" s="1">
        <v>550</v>
      </c>
      <c r="AD34" s="1">
        <v>665</v>
      </c>
      <c r="AE34" s="107">
        <v>580</v>
      </c>
      <c r="AF34" s="107">
        <v>580</v>
      </c>
      <c r="AG34" s="107">
        <v>580</v>
      </c>
      <c r="AH34" s="107">
        <v>580</v>
      </c>
    </row>
    <row r="35" spans="2:34" x14ac:dyDescent="0.25">
      <c r="B35" s="1">
        <v>-0.32</v>
      </c>
      <c r="C35" s="1">
        <v>-0.32</v>
      </c>
      <c r="D35" s="1">
        <v>-0.31</v>
      </c>
      <c r="E35" s="1">
        <v>-0.31</v>
      </c>
      <c r="F35" s="1">
        <v>-0.31</v>
      </c>
      <c r="G35" s="1">
        <v>-0.31</v>
      </c>
      <c r="H35" s="1">
        <v>-0.3</v>
      </c>
      <c r="I35" s="1">
        <v>-0.25</v>
      </c>
      <c r="J35" s="1">
        <v>-0.32</v>
      </c>
      <c r="K35" s="1">
        <v>-0.31</v>
      </c>
      <c r="L35" s="1">
        <v>-0.28599999999999998</v>
      </c>
      <c r="M35" s="1">
        <v>-0.28499999999999998</v>
      </c>
      <c r="N35" s="1">
        <v>-0.3</v>
      </c>
      <c r="O35" s="1">
        <v>-0.3</v>
      </c>
      <c r="P35" s="1">
        <v>-0.3</v>
      </c>
      <c r="Q35" s="1">
        <v>-0.3</v>
      </c>
      <c r="R35" s="1">
        <v>-0.28000000000000003</v>
      </c>
      <c r="S35" s="1">
        <v>-0.28499999999999998</v>
      </c>
      <c r="T35" s="1">
        <v>-0.27</v>
      </c>
      <c r="U35" s="1">
        <v>-0.27</v>
      </c>
      <c r="V35" s="1">
        <v>-0.28999999999999998</v>
      </c>
      <c r="W35" s="1">
        <v>-0.25</v>
      </c>
      <c r="X35" s="1">
        <v>-0.27</v>
      </c>
      <c r="Y35" s="1">
        <v>-0.25</v>
      </c>
      <c r="Z35" s="1">
        <v>-0.27</v>
      </c>
      <c r="AA35" s="1">
        <v>-0.25</v>
      </c>
      <c r="AB35" s="1">
        <v>-0.25</v>
      </c>
      <c r="AC35" s="1">
        <v>-0.3</v>
      </c>
      <c r="AD35" s="1">
        <v>-0.26</v>
      </c>
      <c r="AE35" s="107">
        <v>-0.26</v>
      </c>
      <c r="AF35" s="107">
        <v>-0.26</v>
      </c>
      <c r="AG35" s="107">
        <v>-0.26</v>
      </c>
      <c r="AH35" s="107">
        <v>-0.26</v>
      </c>
    </row>
    <row r="36" spans="2:34" x14ac:dyDescent="0.25">
      <c r="B36" s="1">
        <v>0.05</v>
      </c>
      <c r="C36" s="1">
        <v>0.05</v>
      </c>
      <c r="D36" s="1">
        <v>0.05</v>
      </c>
      <c r="E36" s="1">
        <v>0.05</v>
      </c>
      <c r="F36" s="1">
        <v>0.05</v>
      </c>
      <c r="G36" s="1">
        <v>0.05</v>
      </c>
      <c r="H36" s="1">
        <v>0.06</v>
      </c>
      <c r="I36" s="1">
        <v>0.04</v>
      </c>
      <c r="J36" s="1">
        <v>0.05</v>
      </c>
      <c r="K36" s="1">
        <v>0.05</v>
      </c>
      <c r="L36" s="1">
        <v>5.7000000000000002E-2</v>
      </c>
      <c r="M36" s="1">
        <v>4.4999999999999998E-2</v>
      </c>
      <c r="N36" s="1">
        <v>0.06</v>
      </c>
      <c r="O36" s="1">
        <v>0.06</v>
      </c>
      <c r="P36" s="1">
        <v>0.05</v>
      </c>
      <c r="Q36" s="1">
        <v>0.06</v>
      </c>
      <c r="R36" s="1">
        <v>4.8000000000000001E-2</v>
      </c>
      <c r="S36" s="1">
        <v>4.4999999999999998E-2</v>
      </c>
      <c r="T36" s="1">
        <v>4.8000000000000001E-2</v>
      </c>
      <c r="U36" s="1">
        <v>4.4999999999999998E-2</v>
      </c>
      <c r="V36" s="1">
        <v>0.04</v>
      </c>
      <c r="W36" s="1">
        <v>4.5999999999999999E-2</v>
      </c>
      <c r="X36" s="1">
        <v>4.4999999999999998E-2</v>
      </c>
      <c r="Y36" s="1">
        <v>4.5999999999999999E-2</v>
      </c>
      <c r="Z36" s="1">
        <v>4.8000000000000001E-2</v>
      </c>
      <c r="AA36" s="1">
        <v>4.5999999999999999E-2</v>
      </c>
      <c r="AB36" s="1">
        <v>0.04</v>
      </c>
      <c r="AC36" s="1">
        <v>0.06</v>
      </c>
      <c r="AD36" s="1">
        <v>0.05</v>
      </c>
      <c r="AE36" s="107">
        <v>3.7999999999999999E-2</v>
      </c>
      <c r="AF36" s="107">
        <v>4.5999999999999999E-2</v>
      </c>
      <c r="AG36" s="107">
        <v>3.7999999999999999E-2</v>
      </c>
      <c r="AH36" s="107">
        <v>4.5999999999999999E-2</v>
      </c>
    </row>
    <row r="37" spans="2:34" x14ac:dyDescent="0.25">
      <c r="B37" s="1">
        <v>-0.41</v>
      </c>
      <c r="C37" s="1">
        <v>-0.41</v>
      </c>
      <c r="D37" s="1">
        <v>-0.38</v>
      </c>
      <c r="E37" s="1">
        <v>-0.35</v>
      </c>
      <c r="F37" s="1">
        <v>-0.35</v>
      </c>
      <c r="G37" s="1">
        <v>-0.35</v>
      </c>
      <c r="H37" s="1">
        <v>-0.4</v>
      </c>
      <c r="I37" s="1">
        <v>-0.34</v>
      </c>
      <c r="J37" s="1">
        <v>-0.39</v>
      </c>
      <c r="K37" s="1">
        <v>-0.35</v>
      </c>
      <c r="L37" s="1">
        <v>-0.37</v>
      </c>
      <c r="M37" s="1">
        <v>-0.35</v>
      </c>
      <c r="N37" s="1">
        <v>-0.37</v>
      </c>
      <c r="O37" s="1">
        <v>-0.37</v>
      </c>
      <c r="P37" s="1">
        <v>-0.37</v>
      </c>
      <c r="Q37" s="1">
        <v>-0.37</v>
      </c>
      <c r="R37" s="1">
        <v>-0.35</v>
      </c>
      <c r="S37" s="1">
        <v>-0.35</v>
      </c>
      <c r="T37" s="1">
        <v>-0.35</v>
      </c>
      <c r="U37" s="1">
        <v>-0.35</v>
      </c>
      <c r="V37" s="1">
        <v>-0.35</v>
      </c>
      <c r="W37" s="1">
        <v>-0.3</v>
      </c>
      <c r="X37" s="1">
        <v>-0.35</v>
      </c>
      <c r="Y37" s="1">
        <v>-0.3</v>
      </c>
      <c r="Z37" s="1">
        <v>-0.35</v>
      </c>
      <c r="AA37" s="1">
        <v>-0.3</v>
      </c>
      <c r="AB37" s="1">
        <v>-0.34</v>
      </c>
      <c r="AC37" s="1">
        <v>-0.39</v>
      </c>
      <c r="AD37" s="1">
        <v>-0.34</v>
      </c>
      <c r="AE37" s="107">
        <v>-0.31</v>
      </c>
      <c r="AF37" s="107">
        <v>-0.31</v>
      </c>
      <c r="AG37" s="107">
        <v>-0.31</v>
      </c>
      <c r="AH37" s="107">
        <v>-0.31</v>
      </c>
    </row>
    <row r="38" spans="2:34" x14ac:dyDescent="0.25">
      <c r="B38" s="1">
        <v>37.1</v>
      </c>
      <c r="C38" s="1">
        <v>37.299999999999997</v>
      </c>
      <c r="D38" s="1">
        <v>42.8</v>
      </c>
      <c r="E38" s="1">
        <v>41.8</v>
      </c>
      <c r="F38" s="1">
        <v>41.8</v>
      </c>
      <c r="G38" s="1">
        <v>42.2</v>
      </c>
      <c r="H38" s="1">
        <v>37.42</v>
      </c>
      <c r="I38" s="1">
        <v>31.4</v>
      </c>
      <c r="J38" s="1">
        <v>42</v>
      </c>
      <c r="K38" s="1">
        <v>42.4</v>
      </c>
      <c r="L38" s="1">
        <v>41.4</v>
      </c>
      <c r="M38" s="1">
        <v>41.93</v>
      </c>
      <c r="N38" s="1">
        <v>41.4</v>
      </c>
      <c r="O38" s="1">
        <v>42</v>
      </c>
      <c r="P38" s="1">
        <v>41.85</v>
      </c>
      <c r="Q38" s="1">
        <v>38.1</v>
      </c>
      <c r="R38" s="1">
        <v>40.83</v>
      </c>
      <c r="S38" s="1">
        <v>42.1</v>
      </c>
      <c r="T38" s="1">
        <v>41.28</v>
      </c>
      <c r="U38" s="1">
        <v>42.27</v>
      </c>
      <c r="V38" s="1">
        <v>42.2</v>
      </c>
      <c r="W38" s="1">
        <v>42.37</v>
      </c>
      <c r="X38" s="1">
        <v>42.27</v>
      </c>
      <c r="Y38" s="1">
        <v>41.77</v>
      </c>
      <c r="Z38" s="1">
        <v>42.22</v>
      </c>
      <c r="AA38" s="1">
        <v>42.69</v>
      </c>
      <c r="AB38" s="1">
        <v>38</v>
      </c>
      <c r="AC38" s="1">
        <v>42.49</v>
      </c>
      <c r="AD38" s="1">
        <v>38.5</v>
      </c>
      <c r="AE38" s="107">
        <v>43.43</v>
      </c>
      <c r="AF38" s="107">
        <v>43.2</v>
      </c>
      <c r="AG38" s="107">
        <v>43.43</v>
      </c>
      <c r="AH38" s="107">
        <v>43.2</v>
      </c>
    </row>
    <row r="39" spans="2:34" x14ac:dyDescent="0.25">
      <c r="B39" s="1">
        <v>45.8</v>
      </c>
      <c r="C39" s="1">
        <v>46.1</v>
      </c>
      <c r="D39" s="1">
        <v>51.4</v>
      </c>
      <c r="E39" s="1">
        <v>49</v>
      </c>
      <c r="F39" s="1">
        <v>49.8</v>
      </c>
      <c r="G39" s="1">
        <v>50</v>
      </c>
      <c r="H39" s="1">
        <v>44.9</v>
      </c>
      <c r="I39" s="1">
        <v>37.700000000000003</v>
      </c>
      <c r="J39" s="1">
        <v>50.02</v>
      </c>
      <c r="K39" s="1">
        <v>50.2</v>
      </c>
      <c r="L39" s="1">
        <v>50.22</v>
      </c>
      <c r="M39" s="1">
        <f>49.9*1.03</f>
        <v>51.396999999999998</v>
      </c>
      <c r="N39" s="1">
        <v>50</v>
      </c>
      <c r="O39" s="1">
        <v>50.6</v>
      </c>
      <c r="P39" s="1">
        <v>49.8</v>
      </c>
      <c r="Q39" s="1">
        <v>45.8</v>
      </c>
      <c r="R39" s="1">
        <v>49.6</v>
      </c>
      <c r="S39" s="1">
        <f>50.1*1.03</f>
        <v>51.603000000000002</v>
      </c>
      <c r="T39" s="1">
        <v>49.8</v>
      </c>
      <c r="U39" s="1">
        <v>50.3</v>
      </c>
      <c r="V39" s="1">
        <v>50.24</v>
      </c>
      <c r="W39" s="1">
        <v>52.59</v>
      </c>
      <c r="X39" s="1">
        <v>50.3</v>
      </c>
      <c r="Y39" s="1">
        <v>51.84</v>
      </c>
      <c r="Z39" s="1">
        <v>50.88</v>
      </c>
      <c r="AA39" s="1">
        <v>52.08</v>
      </c>
      <c r="AB39" s="1">
        <v>47.173999999999999</v>
      </c>
      <c r="AC39" s="1">
        <v>50.32</v>
      </c>
      <c r="AD39" s="1">
        <v>45.6</v>
      </c>
      <c r="AE39" s="107">
        <v>51.99</v>
      </c>
      <c r="AF39" s="107">
        <v>51.4</v>
      </c>
      <c r="AG39" s="107">
        <v>51.99</v>
      </c>
      <c r="AH39" s="107">
        <v>51.4</v>
      </c>
    </row>
    <row r="40" spans="2:34" x14ac:dyDescent="0.25">
      <c r="B40" s="1">
        <v>8.6300000000000008</v>
      </c>
      <c r="C40" s="1">
        <v>8.85</v>
      </c>
      <c r="D40" s="1">
        <v>9.35</v>
      </c>
      <c r="E40" s="1">
        <v>10.52</v>
      </c>
      <c r="F40" s="1">
        <v>12.8</v>
      </c>
      <c r="G40" s="1">
        <v>12.91</v>
      </c>
      <c r="H40" s="1">
        <v>9.09</v>
      </c>
      <c r="I40" s="1">
        <v>17.21</v>
      </c>
      <c r="J40" s="1">
        <v>13.1</v>
      </c>
      <c r="K40" s="1">
        <v>12.97</v>
      </c>
      <c r="L40" s="1">
        <v>10.87</v>
      </c>
      <c r="M40" s="1">
        <v>13</v>
      </c>
      <c r="N40" s="1">
        <v>10.87</v>
      </c>
      <c r="O40" s="1">
        <v>11.07</v>
      </c>
      <c r="P40" s="1">
        <v>13.14</v>
      </c>
      <c r="Q40" s="1">
        <v>17.45</v>
      </c>
      <c r="R40" s="1">
        <v>13.48</v>
      </c>
      <c r="S40" s="1">
        <v>13.06</v>
      </c>
      <c r="T40" s="1">
        <v>13.32</v>
      </c>
      <c r="U40" s="1">
        <v>13.13</v>
      </c>
      <c r="V40" s="1">
        <v>13.17</v>
      </c>
      <c r="W40" s="1">
        <v>13.69</v>
      </c>
      <c r="X40" s="1">
        <v>13.13</v>
      </c>
      <c r="Y40" s="1">
        <v>13.41</v>
      </c>
      <c r="Z40" s="1">
        <v>13.62</v>
      </c>
      <c r="AA40" s="1">
        <v>13.47</v>
      </c>
      <c r="AB40" s="1">
        <v>17.5</v>
      </c>
      <c r="AC40" s="1">
        <v>12.94</v>
      </c>
      <c r="AD40" s="1">
        <v>17.28</v>
      </c>
      <c r="AE40" s="107">
        <v>13.38</v>
      </c>
      <c r="AF40" s="107">
        <v>13.43</v>
      </c>
      <c r="AG40" s="107">
        <v>13.38</v>
      </c>
      <c r="AH40" s="107">
        <v>13.43</v>
      </c>
    </row>
    <row r="41" spans="2:34" x14ac:dyDescent="0.25">
      <c r="B41" s="1">
        <v>9.1</v>
      </c>
      <c r="C41" s="1">
        <v>9.2899999999999991</v>
      </c>
      <c r="D41" s="1">
        <v>9.8699999999999992</v>
      </c>
      <c r="E41" s="1">
        <v>11.29</v>
      </c>
      <c r="F41" s="1">
        <v>13.6</v>
      </c>
      <c r="G41" s="1">
        <v>13.72</v>
      </c>
      <c r="H41" s="1">
        <v>9.82</v>
      </c>
      <c r="I41" s="1">
        <v>18.3</v>
      </c>
      <c r="J41" s="1">
        <v>13.93</v>
      </c>
      <c r="K41" s="1">
        <v>13.78</v>
      </c>
      <c r="L41" s="1">
        <v>11.48</v>
      </c>
      <c r="M41" s="1">
        <f>13.81*1.03</f>
        <v>14.224300000000001</v>
      </c>
      <c r="N41" s="1">
        <v>11.57</v>
      </c>
      <c r="O41" s="1">
        <v>11.62</v>
      </c>
      <c r="P41" s="1">
        <v>13.78</v>
      </c>
      <c r="Q41" s="1">
        <v>19.5</v>
      </c>
      <c r="R41" s="1">
        <v>14.04</v>
      </c>
      <c r="S41" s="1">
        <f>13.9*1.03</f>
        <v>14.317</v>
      </c>
      <c r="T41" s="1">
        <v>14.01</v>
      </c>
      <c r="U41" s="1">
        <v>13.98</v>
      </c>
      <c r="V41" s="1">
        <v>13.98</v>
      </c>
      <c r="W41" s="1">
        <v>14.89</v>
      </c>
      <c r="X41" s="1">
        <v>13.98</v>
      </c>
      <c r="Y41" s="1">
        <v>14.57</v>
      </c>
      <c r="Z41" s="1">
        <v>14.39</v>
      </c>
      <c r="AA41" s="1">
        <v>14.53</v>
      </c>
      <c r="AB41" s="1">
        <v>19.14</v>
      </c>
      <c r="AC41" s="1">
        <v>13.61</v>
      </c>
      <c r="AD41" s="1">
        <v>18.510000000000002</v>
      </c>
      <c r="AE41" s="107">
        <v>14.02</v>
      </c>
      <c r="AF41" s="107">
        <v>14.23</v>
      </c>
      <c r="AG41" s="107">
        <v>14.02</v>
      </c>
      <c r="AH41" s="107">
        <v>14.23</v>
      </c>
    </row>
    <row r="42" spans="2:34" x14ac:dyDescent="0.25">
      <c r="T42" s="83"/>
      <c r="U42" s="83"/>
      <c r="V42" s="83"/>
      <c r="W42" s="83"/>
      <c r="X42" s="83"/>
      <c r="Y42" s="83"/>
      <c r="Z42" s="83"/>
      <c r="AA42" s="83"/>
      <c r="AB42" s="83"/>
      <c r="AC42" s="1"/>
      <c r="AD42" s="83"/>
      <c r="AE42" s="83"/>
      <c r="AF42" s="83"/>
      <c r="AG42" s="83"/>
      <c r="AH42" s="83"/>
    </row>
    <row r="43" spans="2:34" x14ac:dyDescent="0.25">
      <c r="T43" s="6"/>
      <c r="U43" s="6">
        <f>U42/U34</f>
        <v>0</v>
      </c>
      <c r="V43" s="6"/>
      <c r="W43" s="6"/>
      <c r="X43" s="6">
        <f>X42/X34</f>
        <v>0</v>
      </c>
      <c r="Y43" s="6"/>
      <c r="Z43" s="6"/>
      <c r="AA43" s="6"/>
      <c r="AB43" s="6"/>
      <c r="AC43" s="1"/>
      <c r="AD43" s="6"/>
      <c r="AE43" s="6"/>
      <c r="AF43" s="6"/>
      <c r="AG43" s="6"/>
      <c r="AH43" s="6"/>
    </row>
    <row r="44" spans="2:34" x14ac:dyDescent="0.25">
      <c r="T44" s="1" t="s">
        <v>271</v>
      </c>
      <c r="U44" s="1" t="s">
        <v>308</v>
      </c>
      <c r="V44" s="1" t="s">
        <v>352</v>
      </c>
      <c r="W44" s="1" t="s">
        <v>391</v>
      </c>
      <c r="X44" s="1" t="s">
        <v>308</v>
      </c>
      <c r="Y44" s="1" t="s">
        <v>440</v>
      </c>
      <c r="Z44" s="1" t="s">
        <v>410</v>
      </c>
      <c r="AA44" s="1" t="s">
        <v>391</v>
      </c>
      <c r="AB44" s="1" t="s">
        <v>391</v>
      </c>
      <c r="AC44" s="1" t="s">
        <v>448</v>
      </c>
      <c r="AD44" s="1" t="s">
        <v>438</v>
      </c>
      <c r="AE44" s="1" t="s">
        <v>480</v>
      </c>
      <c r="AF44" s="1" t="s">
        <v>480</v>
      </c>
      <c r="AG44" s="1" t="s">
        <v>480</v>
      </c>
      <c r="AH44" s="1" t="s">
        <v>480</v>
      </c>
    </row>
    <row r="45" spans="2:34" x14ac:dyDescent="0.25">
      <c r="T45" s="1" t="s">
        <v>330</v>
      </c>
      <c r="U45" s="1" t="s">
        <v>331</v>
      </c>
      <c r="V45" s="1" t="s">
        <v>353</v>
      </c>
      <c r="W45" s="1" t="s">
        <v>389</v>
      </c>
      <c r="X45" s="1" t="s">
        <v>331</v>
      </c>
      <c r="Y45" s="1" t="s">
        <v>435</v>
      </c>
      <c r="Z45" s="1" t="s">
        <v>408</v>
      </c>
      <c r="AA45" s="1" t="s">
        <v>329</v>
      </c>
      <c r="AB45" s="1" t="s">
        <v>346</v>
      </c>
      <c r="AC45" s="1" t="s">
        <v>436</v>
      </c>
      <c r="AD45" s="1" t="s">
        <v>439</v>
      </c>
      <c r="AE45" s="1" t="s">
        <v>478</v>
      </c>
      <c r="AF45" s="1" t="s">
        <v>474</v>
      </c>
      <c r="AG45" s="1" t="s">
        <v>478</v>
      </c>
      <c r="AH45" s="1" t="s">
        <v>474</v>
      </c>
    </row>
    <row r="46" spans="2:34" x14ac:dyDescent="0.25">
      <c r="T46" s="1" t="s">
        <v>333</v>
      </c>
      <c r="U46" s="1" t="s">
        <v>348</v>
      </c>
      <c r="V46" s="1" t="s">
        <v>349</v>
      </c>
      <c r="W46" s="1" t="s">
        <v>348</v>
      </c>
      <c r="X46" s="1" t="s">
        <v>348</v>
      </c>
      <c r="Y46" s="1" t="s">
        <v>348</v>
      </c>
      <c r="Z46" s="1" t="s">
        <v>348</v>
      </c>
      <c r="AA46" s="1" t="s">
        <v>348</v>
      </c>
      <c r="AB46" s="1" t="s">
        <v>347</v>
      </c>
      <c r="AC46" s="1" t="s">
        <v>349</v>
      </c>
      <c r="AD46" s="1" t="s">
        <v>347</v>
      </c>
      <c r="AE46" s="1" t="s">
        <v>348</v>
      </c>
      <c r="AF46" s="1" t="s">
        <v>348</v>
      </c>
      <c r="AG46" s="1" t="s">
        <v>348</v>
      </c>
      <c r="AH46" s="1" t="s">
        <v>348</v>
      </c>
    </row>
    <row r="47" spans="2:34" x14ac:dyDescent="0.25">
      <c r="T47" s="1" t="s">
        <v>332</v>
      </c>
      <c r="U47" s="1" t="s">
        <v>334</v>
      </c>
      <c r="V47" s="1" t="s">
        <v>341</v>
      </c>
      <c r="W47" s="1" t="s">
        <v>390</v>
      </c>
      <c r="X47" s="1" t="s">
        <v>334</v>
      </c>
      <c r="Y47" s="1" t="s">
        <v>328</v>
      </c>
      <c r="Z47" s="1" t="s">
        <v>409</v>
      </c>
      <c r="AA47" s="1" t="s">
        <v>328</v>
      </c>
      <c r="AB47" s="1" t="s">
        <v>350</v>
      </c>
      <c r="AC47" s="1" t="s">
        <v>437</v>
      </c>
      <c r="AD47" s="1" t="s">
        <v>441</v>
      </c>
      <c r="AE47" s="1" t="s">
        <v>479</v>
      </c>
      <c r="AF47" s="1" t="s">
        <v>475</v>
      </c>
      <c r="AG47" s="1" t="s">
        <v>479</v>
      </c>
      <c r="AH47" s="1" t="s">
        <v>475</v>
      </c>
    </row>
    <row r="48" spans="2:34" x14ac:dyDescent="0.25">
      <c r="Y48" s="125">
        <v>2</v>
      </c>
      <c r="Z48" s="125">
        <v>2</v>
      </c>
      <c r="AA48" s="125">
        <v>2</v>
      </c>
      <c r="AB48" s="125">
        <v>2</v>
      </c>
      <c r="AC48" s="132">
        <v>2</v>
      </c>
      <c r="AD48" s="132">
        <v>2</v>
      </c>
      <c r="AE48" s="132">
        <v>1</v>
      </c>
      <c r="AF48" s="132">
        <v>1</v>
      </c>
      <c r="AG48" s="132">
        <v>1</v>
      </c>
      <c r="AH48" s="132">
        <v>1</v>
      </c>
    </row>
  </sheetData>
  <sheetProtection algorithmName="SHA-512" hashValue="72IXXEJuJ7YFgUaLiX+lrHpU3cfjGNg84jIhXScvAyDmMtR6EuRtgExSnvVJZozsVjsvNqfyJ5V9ZuqiT9EXNg==" saltValue="paLqjDWs7e5lVwqcoK285Q==" spinCount="100000" sheet="1" selectLockedCells="1"/>
  <dataValidations count="1">
    <dataValidation type="list" allowBlank="1" showInputMessage="1" showErrorMessage="1" sqref="B21" xr:uid="{F2A03A03-5A31-4298-9E03-A297BF758D46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B5F7-0AFB-480B-94AF-0EF9B571D9BD}">
  <sheetPr codeName="Planilha4"/>
  <dimension ref="A1:K196"/>
  <sheetViews>
    <sheetView topLeftCell="A167" workbookViewId="0">
      <selection activeCell="H192" sqref="H192"/>
    </sheetView>
  </sheetViews>
  <sheetFormatPr defaultColWidth="9.140625" defaultRowHeight="15" x14ac:dyDescent="0.25"/>
  <cols>
    <col min="1" max="1" width="23.5703125" style="85" customWidth="1"/>
    <col min="2" max="2" width="23.5703125" style="68" customWidth="1"/>
    <col min="3" max="3" width="9.140625" style="71"/>
    <col min="4" max="16384" width="9.140625" style="67"/>
  </cols>
  <sheetData>
    <row r="1" spans="1:11" s="70" customFormat="1" ht="45" customHeight="1" x14ac:dyDescent="0.25">
      <c r="A1" s="127" t="s">
        <v>117</v>
      </c>
      <c r="B1" s="87" t="s">
        <v>203</v>
      </c>
      <c r="C1" s="93" t="s">
        <v>124</v>
      </c>
      <c r="D1" s="92"/>
      <c r="E1" s="92"/>
      <c r="F1" s="92"/>
      <c r="G1" s="92"/>
      <c r="H1" s="92"/>
      <c r="I1" s="92"/>
      <c r="J1" s="92"/>
      <c r="K1" s="92"/>
    </row>
    <row r="2" spans="1:11" s="74" customFormat="1" x14ac:dyDescent="0.25">
      <c r="A2" s="88" t="s">
        <v>118</v>
      </c>
      <c r="B2" s="72" t="s">
        <v>125</v>
      </c>
      <c r="C2" s="73" t="s">
        <v>123</v>
      </c>
    </row>
    <row r="3" spans="1:11" s="77" customFormat="1" x14ac:dyDescent="0.25">
      <c r="A3" s="89" t="s">
        <v>119</v>
      </c>
      <c r="B3" s="75" t="s">
        <v>125</v>
      </c>
      <c r="C3" s="76" t="s">
        <v>153</v>
      </c>
    </row>
    <row r="4" spans="1:11" s="80" customFormat="1" x14ac:dyDescent="0.25">
      <c r="A4" s="90" t="s">
        <v>120</v>
      </c>
      <c r="B4" s="78" t="s">
        <v>125</v>
      </c>
      <c r="C4" s="79" t="s">
        <v>126</v>
      </c>
    </row>
    <row r="5" spans="1:11" x14ac:dyDescent="0.25">
      <c r="A5" s="86"/>
      <c r="C5" s="71" t="s">
        <v>127</v>
      </c>
    </row>
    <row r="6" spans="1:11" x14ac:dyDescent="0.25">
      <c r="C6" s="71" t="s">
        <v>130</v>
      </c>
    </row>
    <row r="7" spans="1:11" x14ac:dyDescent="0.25">
      <c r="C7" s="71" t="s">
        <v>129</v>
      </c>
    </row>
    <row r="8" spans="1:11" s="74" customFormat="1" x14ac:dyDescent="0.25">
      <c r="A8" s="88"/>
      <c r="B8" s="72"/>
      <c r="C8" s="73" t="s">
        <v>131</v>
      </c>
    </row>
    <row r="9" spans="1:11" x14ac:dyDescent="0.25">
      <c r="A9" s="85" t="s">
        <v>121</v>
      </c>
      <c r="B9" s="69">
        <v>44057</v>
      </c>
      <c r="C9" s="71" t="s">
        <v>146</v>
      </c>
    </row>
    <row r="10" spans="1:11" x14ac:dyDescent="0.25">
      <c r="C10" s="71" t="s">
        <v>132</v>
      </c>
    </row>
    <row r="11" spans="1:11" x14ac:dyDescent="0.25">
      <c r="C11" s="71" t="s">
        <v>133</v>
      </c>
    </row>
    <row r="12" spans="1:11" s="74" customFormat="1" x14ac:dyDescent="0.25">
      <c r="A12" s="88"/>
      <c r="B12" s="72"/>
      <c r="C12" s="73" t="s">
        <v>134</v>
      </c>
    </row>
    <row r="13" spans="1:11" x14ac:dyDescent="0.25">
      <c r="A13" s="85" t="s">
        <v>136</v>
      </c>
      <c r="B13" s="69">
        <v>44202</v>
      </c>
      <c r="C13" s="71" t="s">
        <v>138</v>
      </c>
    </row>
    <row r="14" spans="1:11" x14ac:dyDescent="0.25">
      <c r="C14" s="71" t="s">
        <v>139</v>
      </c>
    </row>
    <row r="15" spans="1:11" x14ac:dyDescent="0.25">
      <c r="C15" s="71" t="s">
        <v>141</v>
      </c>
    </row>
    <row r="16" spans="1:11" x14ac:dyDescent="0.25">
      <c r="C16" s="71" t="s">
        <v>140</v>
      </c>
    </row>
    <row r="17" spans="1:3" x14ac:dyDescent="0.25">
      <c r="C17" s="71" t="s">
        <v>142</v>
      </c>
    </row>
    <row r="18" spans="1:3" s="74" customFormat="1" x14ac:dyDescent="0.25">
      <c r="A18" s="88"/>
      <c r="B18" s="72"/>
      <c r="C18" s="73" t="s">
        <v>143</v>
      </c>
    </row>
    <row r="19" spans="1:3" x14ac:dyDescent="0.25">
      <c r="A19" s="85" t="s">
        <v>122</v>
      </c>
      <c r="B19" s="69">
        <v>44266</v>
      </c>
      <c r="C19" s="71" t="s">
        <v>135</v>
      </c>
    </row>
    <row r="20" spans="1:3" x14ac:dyDescent="0.25">
      <c r="B20" s="69"/>
      <c r="C20" s="71" t="s">
        <v>137</v>
      </c>
    </row>
    <row r="21" spans="1:3" x14ac:dyDescent="0.25">
      <c r="B21" s="69"/>
      <c r="C21" s="71" t="s">
        <v>128</v>
      </c>
    </row>
    <row r="22" spans="1:3" x14ac:dyDescent="0.25">
      <c r="B22" s="69"/>
      <c r="C22" s="71" t="s">
        <v>145</v>
      </c>
    </row>
    <row r="23" spans="1:3" x14ac:dyDescent="0.25">
      <c r="C23" s="71" t="s">
        <v>144</v>
      </c>
    </row>
    <row r="24" spans="1:3" x14ac:dyDescent="0.25">
      <c r="C24" s="71" t="s">
        <v>151</v>
      </c>
    </row>
    <row r="25" spans="1:3" x14ac:dyDescent="0.25">
      <c r="C25" s="14" t="s">
        <v>148</v>
      </c>
    </row>
    <row r="26" spans="1:3" x14ac:dyDescent="0.25">
      <c r="C26" s="71" t="s">
        <v>150</v>
      </c>
    </row>
    <row r="27" spans="1:3" x14ac:dyDescent="0.25">
      <c r="C27" s="71" t="s">
        <v>152</v>
      </c>
    </row>
    <row r="28" spans="1:3" x14ac:dyDescent="0.25">
      <c r="C28" s="71" t="s">
        <v>155</v>
      </c>
    </row>
    <row r="29" spans="1:3" s="74" customFormat="1" x14ac:dyDescent="0.25">
      <c r="A29" s="88"/>
      <c r="B29" s="72"/>
      <c r="C29" s="73" t="s">
        <v>154</v>
      </c>
    </row>
    <row r="30" spans="1:3" x14ac:dyDescent="0.25">
      <c r="A30" s="85" t="s">
        <v>156</v>
      </c>
      <c r="B30" s="69">
        <v>44299</v>
      </c>
      <c r="C30" s="71" t="s">
        <v>157</v>
      </c>
    </row>
    <row r="31" spans="1:3" s="74" customFormat="1" x14ac:dyDescent="0.25">
      <c r="A31" s="88"/>
      <c r="B31" s="72"/>
      <c r="C31" s="73" t="s">
        <v>158</v>
      </c>
    </row>
    <row r="32" spans="1:3" s="77" customFormat="1" x14ac:dyDescent="0.25">
      <c r="A32" s="89" t="s">
        <v>167</v>
      </c>
      <c r="B32" s="91">
        <v>44300</v>
      </c>
      <c r="C32" s="76" t="s">
        <v>168</v>
      </c>
    </row>
    <row r="33" spans="1:3" x14ac:dyDescent="0.25">
      <c r="A33" s="90" t="s">
        <v>169</v>
      </c>
      <c r="B33" s="69">
        <v>44326</v>
      </c>
      <c r="C33" s="71" t="s">
        <v>170</v>
      </c>
    </row>
    <row r="34" spans="1:3" x14ac:dyDescent="0.25">
      <c r="C34" s="71" t="s">
        <v>171</v>
      </c>
    </row>
    <row r="35" spans="1:3" x14ac:dyDescent="0.25">
      <c r="C35" s="71" t="s">
        <v>174</v>
      </c>
    </row>
    <row r="36" spans="1:3" x14ac:dyDescent="0.25">
      <c r="C36" s="71" t="s">
        <v>186</v>
      </c>
    </row>
    <row r="37" spans="1:3" x14ac:dyDescent="0.25">
      <c r="C37" s="71" t="s">
        <v>175</v>
      </c>
    </row>
    <row r="38" spans="1:3" x14ac:dyDescent="0.25">
      <c r="C38" s="71" t="s">
        <v>187</v>
      </c>
    </row>
    <row r="39" spans="1:3" x14ac:dyDescent="0.25">
      <c r="C39" s="71" t="s">
        <v>176</v>
      </c>
    </row>
    <row r="40" spans="1:3" x14ac:dyDescent="0.25">
      <c r="C40" s="71" t="s">
        <v>178</v>
      </c>
    </row>
    <row r="41" spans="1:3" x14ac:dyDescent="0.25">
      <c r="C41" s="71" t="s">
        <v>179</v>
      </c>
    </row>
    <row r="42" spans="1:3" x14ac:dyDescent="0.25">
      <c r="C42" s="71" t="s">
        <v>180</v>
      </c>
    </row>
    <row r="43" spans="1:3" x14ac:dyDescent="0.25">
      <c r="C43" s="71" t="s">
        <v>181</v>
      </c>
    </row>
    <row r="44" spans="1:3" x14ac:dyDescent="0.25">
      <c r="C44" s="71" t="s">
        <v>182</v>
      </c>
    </row>
    <row r="45" spans="1:3" x14ac:dyDescent="0.25">
      <c r="C45" s="71" t="s">
        <v>183</v>
      </c>
    </row>
    <row r="46" spans="1:3" x14ac:dyDescent="0.25">
      <c r="C46" s="71" t="s">
        <v>184</v>
      </c>
    </row>
    <row r="47" spans="1:3" x14ac:dyDescent="0.25">
      <c r="C47" s="71" t="s">
        <v>185</v>
      </c>
    </row>
    <row r="48" spans="1:3" s="80" customFormat="1" x14ac:dyDescent="0.25">
      <c r="A48" s="90" t="s">
        <v>188</v>
      </c>
      <c r="B48" s="100">
        <v>44369</v>
      </c>
      <c r="C48" s="79" t="s">
        <v>193</v>
      </c>
    </row>
    <row r="49" spans="1:3" x14ac:dyDescent="0.25">
      <c r="C49" s="71" t="s">
        <v>189</v>
      </c>
    </row>
    <row r="50" spans="1:3" s="74" customFormat="1" x14ac:dyDescent="0.25">
      <c r="A50" s="88"/>
      <c r="B50" s="72"/>
      <c r="C50" s="73" t="s">
        <v>191</v>
      </c>
    </row>
    <row r="51" spans="1:3" x14ac:dyDescent="0.25">
      <c r="A51" s="85" t="s">
        <v>194</v>
      </c>
      <c r="B51" s="103">
        <v>44432</v>
      </c>
      <c r="C51" s="71" t="s">
        <v>195</v>
      </c>
    </row>
    <row r="52" spans="1:3" x14ac:dyDescent="0.25">
      <c r="C52" s="71" t="s">
        <v>196</v>
      </c>
    </row>
    <row r="53" spans="1:3" x14ac:dyDescent="0.25">
      <c r="C53" s="71" t="s">
        <v>202</v>
      </c>
    </row>
    <row r="54" spans="1:3" x14ac:dyDescent="0.25">
      <c r="C54" s="71" t="s">
        <v>199</v>
      </c>
    </row>
    <row r="55" spans="1:3" s="74" customFormat="1" x14ac:dyDescent="0.25">
      <c r="A55" s="88"/>
      <c r="B55" s="72"/>
      <c r="C55" s="73" t="s">
        <v>204</v>
      </c>
    </row>
    <row r="56" spans="1:3" x14ac:dyDescent="0.25">
      <c r="A56" s="85" t="s">
        <v>220</v>
      </c>
      <c r="B56" s="103">
        <v>44565</v>
      </c>
      <c r="C56" s="71" t="s">
        <v>225</v>
      </c>
    </row>
    <row r="57" spans="1:3" x14ac:dyDescent="0.25">
      <c r="C57" s="71" t="s">
        <v>206</v>
      </c>
    </row>
    <row r="58" spans="1:3" x14ac:dyDescent="0.25">
      <c r="C58" s="71" t="s">
        <v>207</v>
      </c>
    </row>
    <row r="59" spans="1:3" x14ac:dyDescent="0.25">
      <c r="C59" s="71" t="s">
        <v>205</v>
      </c>
    </row>
    <row r="60" spans="1:3" x14ac:dyDescent="0.25">
      <c r="C60" s="71" t="s">
        <v>211</v>
      </c>
    </row>
    <row r="61" spans="1:3" x14ac:dyDescent="0.25">
      <c r="C61" s="71" t="s">
        <v>214</v>
      </c>
    </row>
    <row r="62" spans="1:3" x14ac:dyDescent="0.25">
      <c r="C62" s="71" t="s">
        <v>219</v>
      </c>
    </row>
    <row r="63" spans="1:3" s="74" customFormat="1" x14ac:dyDescent="0.25">
      <c r="A63" s="88"/>
      <c r="B63" s="72"/>
      <c r="C63" s="73" t="s">
        <v>221</v>
      </c>
    </row>
    <row r="64" spans="1:3" x14ac:dyDescent="0.25">
      <c r="A64" s="85" t="s">
        <v>222</v>
      </c>
      <c r="B64" s="103">
        <v>44592</v>
      </c>
      <c r="C64" s="71" t="s">
        <v>223</v>
      </c>
    </row>
    <row r="65" spans="1:3" x14ac:dyDescent="0.25">
      <c r="C65" s="71" t="s">
        <v>226</v>
      </c>
    </row>
    <row r="66" spans="1:3" x14ac:dyDescent="0.25">
      <c r="C66" s="71" t="s">
        <v>224</v>
      </c>
    </row>
    <row r="67" spans="1:3" x14ac:dyDescent="0.25">
      <c r="C67" s="71" t="s">
        <v>227</v>
      </c>
    </row>
    <row r="68" spans="1:3" x14ac:dyDescent="0.25">
      <c r="C68" s="71" t="s">
        <v>228</v>
      </c>
    </row>
    <row r="69" spans="1:3" x14ac:dyDescent="0.25">
      <c r="C69" s="71" t="s">
        <v>237</v>
      </c>
    </row>
    <row r="70" spans="1:3" x14ac:dyDescent="0.25">
      <c r="C70" s="71" t="s">
        <v>229</v>
      </c>
    </row>
    <row r="71" spans="1:3" x14ac:dyDescent="0.25">
      <c r="C71" s="71" t="s">
        <v>230</v>
      </c>
    </row>
    <row r="72" spans="1:3" x14ac:dyDescent="0.25">
      <c r="C72" s="71" t="s">
        <v>231</v>
      </c>
    </row>
    <row r="73" spans="1:3" x14ac:dyDescent="0.25">
      <c r="C73" s="71" t="s">
        <v>236</v>
      </c>
    </row>
    <row r="74" spans="1:3" s="74" customFormat="1" x14ac:dyDescent="0.25">
      <c r="A74" s="88"/>
      <c r="B74" s="72"/>
      <c r="C74" s="73" t="s">
        <v>235</v>
      </c>
    </row>
    <row r="75" spans="1:3" x14ac:dyDescent="0.25">
      <c r="A75" s="85" t="s">
        <v>238</v>
      </c>
      <c r="B75" s="103">
        <v>44644</v>
      </c>
      <c r="C75" s="71" t="s">
        <v>239</v>
      </c>
    </row>
    <row r="76" spans="1:3" x14ac:dyDescent="0.25">
      <c r="C76" s="71" t="s">
        <v>241</v>
      </c>
    </row>
    <row r="77" spans="1:3" x14ac:dyDescent="0.25">
      <c r="C77" s="71" t="s">
        <v>242</v>
      </c>
    </row>
    <row r="78" spans="1:3" x14ac:dyDescent="0.25">
      <c r="C78" s="71" t="s">
        <v>244</v>
      </c>
    </row>
    <row r="79" spans="1:3" x14ac:dyDescent="0.25">
      <c r="C79" s="71" t="s">
        <v>243</v>
      </c>
    </row>
    <row r="80" spans="1:3" x14ac:dyDescent="0.25">
      <c r="C80" s="71" t="s">
        <v>245</v>
      </c>
    </row>
    <row r="81" spans="1:3" x14ac:dyDescent="0.25">
      <c r="C81" s="71" t="s">
        <v>246</v>
      </c>
    </row>
    <row r="82" spans="1:3" s="74" customFormat="1" x14ac:dyDescent="0.25">
      <c r="A82" s="88"/>
      <c r="B82" s="72"/>
      <c r="C82" s="73" t="s">
        <v>247</v>
      </c>
    </row>
    <row r="83" spans="1:3" x14ac:dyDescent="0.25">
      <c r="A83" s="85" t="s">
        <v>248</v>
      </c>
      <c r="B83" s="69">
        <v>44700</v>
      </c>
      <c r="C83" s="106" t="s">
        <v>303</v>
      </c>
    </row>
    <row r="84" spans="1:3" x14ac:dyDescent="0.25">
      <c r="C84" s="71" t="s">
        <v>249</v>
      </c>
    </row>
    <row r="85" spans="1:3" x14ac:dyDescent="0.25">
      <c r="C85" s="71" t="s">
        <v>276</v>
      </c>
    </row>
    <row r="86" spans="1:3" x14ac:dyDescent="0.25">
      <c r="C86" s="71" t="s">
        <v>275</v>
      </c>
    </row>
    <row r="87" spans="1:3" x14ac:dyDescent="0.25">
      <c r="C87" s="71" t="s">
        <v>278</v>
      </c>
    </row>
    <row r="88" spans="1:3" x14ac:dyDescent="0.25">
      <c r="C88" s="71" t="s">
        <v>277</v>
      </c>
    </row>
    <row r="89" spans="1:3" x14ac:dyDescent="0.25">
      <c r="C89" s="71" t="s">
        <v>266</v>
      </c>
    </row>
    <row r="90" spans="1:3" x14ac:dyDescent="0.25">
      <c r="C90" s="71" t="s">
        <v>273</v>
      </c>
    </row>
    <row r="91" spans="1:3" x14ac:dyDescent="0.25">
      <c r="C91" s="71" t="s">
        <v>274</v>
      </c>
    </row>
    <row r="92" spans="1:3" x14ac:dyDescent="0.25">
      <c r="C92" s="71" t="s">
        <v>281</v>
      </c>
    </row>
    <row r="93" spans="1:3" x14ac:dyDescent="0.25">
      <c r="C93" s="71" t="s">
        <v>286</v>
      </c>
    </row>
    <row r="94" spans="1:3" x14ac:dyDescent="0.25">
      <c r="C94" s="71" t="s">
        <v>287</v>
      </c>
    </row>
    <row r="95" spans="1:3" x14ac:dyDescent="0.25">
      <c r="C95" s="71" t="s">
        <v>290</v>
      </c>
    </row>
    <row r="96" spans="1:3" x14ac:dyDescent="0.25">
      <c r="C96" s="71" t="s">
        <v>291</v>
      </c>
    </row>
    <row r="97" spans="1:3" s="74" customFormat="1" x14ac:dyDescent="0.25">
      <c r="A97" s="88"/>
      <c r="B97" s="72"/>
      <c r="C97" s="73" t="s">
        <v>296</v>
      </c>
    </row>
    <row r="98" spans="1:3" x14ac:dyDescent="0.25">
      <c r="A98" s="85" t="s">
        <v>306</v>
      </c>
      <c r="B98" s="69">
        <v>44705</v>
      </c>
      <c r="C98" s="71" t="s">
        <v>302</v>
      </c>
    </row>
    <row r="99" spans="1:3" x14ac:dyDescent="0.25">
      <c r="C99" s="71" t="s">
        <v>304</v>
      </c>
    </row>
    <row r="100" spans="1:3" s="74" customFormat="1" x14ac:dyDescent="0.25">
      <c r="A100" s="88"/>
      <c r="B100" s="72"/>
      <c r="C100" s="73" t="s">
        <v>305</v>
      </c>
    </row>
    <row r="101" spans="1:3" s="77" customFormat="1" x14ac:dyDescent="0.25">
      <c r="A101" s="89" t="s">
        <v>309</v>
      </c>
      <c r="B101" s="91">
        <v>44782</v>
      </c>
      <c r="C101" s="76" t="s">
        <v>310</v>
      </c>
    </row>
    <row r="102" spans="1:3" x14ac:dyDescent="0.25">
      <c r="A102" s="85" t="s">
        <v>312</v>
      </c>
      <c r="B102" s="69">
        <v>44872</v>
      </c>
      <c r="C102" s="71" t="s">
        <v>311</v>
      </c>
    </row>
    <row r="103" spans="1:3" x14ac:dyDescent="0.25">
      <c r="C103" s="71" t="s">
        <v>344</v>
      </c>
    </row>
    <row r="104" spans="1:3" x14ac:dyDescent="0.25">
      <c r="C104" s="71" t="s">
        <v>340</v>
      </c>
    </row>
    <row r="105" spans="1:3" x14ac:dyDescent="0.25">
      <c r="C105" s="71" t="s">
        <v>313</v>
      </c>
    </row>
    <row r="106" spans="1:3" x14ac:dyDescent="0.25">
      <c r="C106" s="71" t="s">
        <v>314</v>
      </c>
    </row>
    <row r="107" spans="1:3" x14ac:dyDescent="0.25">
      <c r="C107" s="71" t="s">
        <v>319</v>
      </c>
    </row>
    <row r="108" spans="1:3" x14ac:dyDescent="0.25">
      <c r="C108" s="71" t="s">
        <v>321</v>
      </c>
    </row>
    <row r="109" spans="1:3" x14ac:dyDescent="0.25">
      <c r="C109" s="71" t="s">
        <v>322</v>
      </c>
    </row>
    <row r="110" spans="1:3" x14ac:dyDescent="0.25">
      <c r="C110" s="71" t="s">
        <v>323</v>
      </c>
    </row>
    <row r="111" spans="1:3" x14ac:dyDescent="0.25">
      <c r="C111" s="71" t="s">
        <v>325</v>
      </c>
    </row>
    <row r="112" spans="1:3" x14ac:dyDescent="0.25">
      <c r="C112" s="71" t="s">
        <v>324</v>
      </c>
    </row>
    <row r="113" spans="3:3" x14ac:dyDescent="0.25">
      <c r="C113" s="71" t="s">
        <v>351</v>
      </c>
    </row>
    <row r="114" spans="3:3" x14ac:dyDescent="0.25">
      <c r="C114" s="71" t="s">
        <v>320</v>
      </c>
    </row>
    <row r="115" spans="3:3" x14ac:dyDescent="0.25">
      <c r="C115" s="71" t="s">
        <v>318</v>
      </c>
    </row>
    <row r="116" spans="3:3" x14ac:dyDescent="0.25">
      <c r="C116" s="71" t="s">
        <v>316</v>
      </c>
    </row>
    <row r="117" spans="3:3" x14ac:dyDescent="0.25">
      <c r="C117" s="71" t="s">
        <v>317</v>
      </c>
    </row>
    <row r="118" spans="3:3" x14ac:dyDescent="0.25">
      <c r="C118" s="71" t="s">
        <v>338</v>
      </c>
    </row>
    <row r="119" spans="3:3" x14ac:dyDescent="0.25">
      <c r="C119" s="71" t="s">
        <v>363</v>
      </c>
    </row>
    <row r="120" spans="3:3" x14ac:dyDescent="0.25">
      <c r="C120" s="71" t="s">
        <v>354</v>
      </c>
    </row>
    <row r="121" spans="3:3" x14ac:dyDescent="0.25">
      <c r="C121" s="71" t="s">
        <v>359</v>
      </c>
    </row>
    <row r="122" spans="3:3" x14ac:dyDescent="0.25">
      <c r="C122" s="71" t="s">
        <v>358</v>
      </c>
    </row>
    <row r="123" spans="3:3" x14ac:dyDescent="0.25">
      <c r="C123" s="71" t="s">
        <v>360</v>
      </c>
    </row>
    <row r="124" spans="3:3" x14ac:dyDescent="0.25">
      <c r="C124" s="71" t="s">
        <v>361</v>
      </c>
    </row>
    <row r="125" spans="3:3" x14ac:dyDescent="0.25">
      <c r="C125" s="71" t="s">
        <v>364</v>
      </c>
    </row>
    <row r="126" spans="3:3" x14ac:dyDescent="0.25">
      <c r="C126" s="71" t="s">
        <v>366</v>
      </c>
    </row>
    <row r="127" spans="3:3" x14ac:dyDescent="0.25">
      <c r="C127" s="71" t="s">
        <v>368</v>
      </c>
    </row>
    <row r="128" spans="3:3" x14ac:dyDescent="0.25">
      <c r="C128" s="71" t="s">
        <v>369</v>
      </c>
    </row>
    <row r="129" spans="1:3" x14ac:dyDescent="0.25">
      <c r="C129" s="71" t="s">
        <v>371</v>
      </c>
    </row>
    <row r="130" spans="1:3" x14ac:dyDescent="0.25">
      <c r="C130" s="71" t="s">
        <v>373</v>
      </c>
    </row>
    <row r="131" spans="1:3" x14ac:dyDescent="0.25">
      <c r="C131" s="71" t="s">
        <v>375</v>
      </c>
    </row>
    <row r="132" spans="1:3" x14ac:dyDescent="0.25">
      <c r="C132" s="71" t="s">
        <v>376</v>
      </c>
    </row>
    <row r="133" spans="1:3" x14ac:dyDescent="0.25">
      <c r="C133" s="71" t="s">
        <v>379</v>
      </c>
    </row>
    <row r="134" spans="1:3" x14ac:dyDescent="0.25">
      <c r="C134" s="71" t="s">
        <v>382</v>
      </c>
    </row>
    <row r="135" spans="1:3" x14ac:dyDescent="0.25">
      <c r="C135" s="71" t="s">
        <v>385</v>
      </c>
    </row>
    <row r="136" spans="1:3" s="74" customFormat="1" x14ac:dyDescent="0.25">
      <c r="A136" s="88"/>
      <c r="B136" s="72"/>
      <c r="C136" s="73" t="s">
        <v>387</v>
      </c>
    </row>
    <row r="137" spans="1:3" x14ac:dyDescent="0.25">
      <c r="A137" s="85" t="s">
        <v>392</v>
      </c>
      <c r="B137" s="69">
        <v>44887</v>
      </c>
      <c r="C137" s="71" t="s">
        <v>395</v>
      </c>
    </row>
    <row r="138" spans="1:3" x14ac:dyDescent="0.25">
      <c r="C138" s="71" t="s">
        <v>396</v>
      </c>
    </row>
    <row r="139" spans="1:3" x14ac:dyDescent="0.25">
      <c r="C139" s="71" t="s">
        <v>393</v>
      </c>
    </row>
    <row r="140" spans="1:3" s="74" customFormat="1" x14ac:dyDescent="0.25">
      <c r="A140" s="88"/>
      <c r="B140" s="72"/>
      <c r="C140" s="73" t="s">
        <v>394</v>
      </c>
    </row>
    <row r="141" spans="1:3" x14ac:dyDescent="0.25">
      <c r="A141" s="85" t="s">
        <v>398</v>
      </c>
      <c r="B141" s="69">
        <v>45012</v>
      </c>
      <c r="C141" s="71" t="s">
        <v>399</v>
      </c>
    </row>
    <row r="142" spans="1:3" x14ac:dyDescent="0.25">
      <c r="C142" s="71" t="s">
        <v>404</v>
      </c>
    </row>
    <row r="143" spans="1:3" x14ac:dyDescent="0.25">
      <c r="C143" s="71" t="s">
        <v>400</v>
      </c>
    </row>
    <row r="144" spans="1:3" x14ac:dyDescent="0.25">
      <c r="C144" s="71" t="s">
        <v>405</v>
      </c>
    </row>
    <row r="145" spans="1:3" x14ac:dyDescent="0.25">
      <c r="C145" s="71" t="s">
        <v>411</v>
      </c>
    </row>
    <row r="146" spans="1:3" x14ac:dyDescent="0.25">
      <c r="C146" s="71" t="s">
        <v>412</v>
      </c>
    </row>
    <row r="147" spans="1:3" s="74" customFormat="1" x14ac:dyDescent="0.25">
      <c r="A147" s="88"/>
      <c r="B147" s="72"/>
      <c r="C147" s="73" t="s">
        <v>413</v>
      </c>
    </row>
    <row r="148" spans="1:3" x14ac:dyDescent="0.25">
      <c r="A148" s="85" t="s">
        <v>429</v>
      </c>
      <c r="B148" s="69">
        <v>45125</v>
      </c>
      <c r="C148" s="71" t="s">
        <v>414</v>
      </c>
    </row>
    <row r="149" spans="1:3" x14ac:dyDescent="0.25">
      <c r="C149" s="71" t="s">
        <v>422</v>
      </c>
    </row>
    <row r="150" spans="1:3" x14ac:dyDescent="0.25">
      <c r="C150" s="71" t="s">
        <v>423</v>
      </c>
    </row>
    <row r="151" spans="1:3" x14ac:dyDescent="0.25">
      <c r="C151" s="71" t="s">
        <v>424</v>
      </c>
    </row>
    <row r="152" spans="1:3" x14ac:dyDescent="0.25">
      <c r="C152" s="71" t="s">
        <v>415</v>
      </c>
    </row>
    <row r="153" spans="1:3" x14ac:dyDescent="0.25">
      <c r="C153" s="71" t="s">
        <v>416</v>
      </c>
    </row>
    <row r="154" spans="1:3" x14ac:dyDescent="0.25">
      <c r="C154" s="71" t="s">
        <v>417</v>
      </c>
    </row>
    <row r="155" spans="1:3" x14ac:dyDescent="0.25">
      <c r="C155" s="71" t="s">
        <v>431</v>
      </c>
    </row>
    <row r="156" spans="1:3" x14ac:dyDescent="0.25">
      <c r="C156" s="71" t="s">
        <v>432</v>
      </c>
    </row>
    <row r="157" spans="1:3" x14ac:dyDescent="0.25">
      <c r="C157" s="71" t="s">
        <v>418</v>
      </c>
    </row>
    <row r="158" spans="1:3" x14ac:dyDescent="0.25">
      <c r="C158" s="71" t="s">
        <v>430</v>
      </c>
    </row>
    <row r="159" spans="1:3" x14ac:dyDescent="0.25">
      <c r="C159" s="71" t="s">
        <v>419</v>
      </c>
    </row>
    <row r="160" spans="1:3" x14ac:dyDescent="0.25">
      <c r="C160" s="71" t="s">
        <v>420</v>
      </c>
    </row>
    <row r="161" spans="1:3" x14ac:dyDescent="0.25">
      <c r="C161" s="71" t="s">
        <v>421</v>
      </c>
    </row>
    <row r="162" spans="1:3" x14ac:dyDescent="0.25">
      <c r="C162" s="71" t="s">
        <v>442</v>
      </c>
    </row>
    <row r="163" spans="1:3" x14ac:dyDescent="0.25">
      <c r="C163" s="71" t="s">
        <v>443</v>
      </c>
    </row>
    <row r="164" spans="1:3" x14ac:dyDescent="0.25">
      <c r="C164" s="71" t="s">
        <v>447</v>
      </c>
    </row>
    <row r="165" spans="1:3" s="74" customFormat="1" x14ac:dyDescent="0.25">
      <c r="A165" s="88"/>
      <c r="B165" s="72"/>
      <c r="C165" s="73" t="s">
        <v>445</v>
      </c>
    </row>
    <row r="166" spans="1:3" x14ac:dyDescent="0.25">
      <c r="A166" s="85" t="s">
        <v>452</v>
      </c>
      <c r="B166" s="69">
        <v>45133</v>
      </c>
      <c r="C166" s="71" t="s">
        <v>449</v>
      </c>
    </row>
    <row r="167" spans="1:3" x14ac:dyDescent="0.25">
      <c r="C167" s="71" t="s">
        <v>450</v>
      </c>
    </row>
    <row r="168" spans="1:3" x14ac:dyDescent="0.25">
      <c r="C168" s="71" t="s">
        <v>451</v>
      </c>
    </row>
    <row r="169" spans="1:3" s="74" customFormat="1" x14ac:dyDescent="0.25">
      <c r="A169" s="88"/>
      <c r="B169" s="72"/>
      <c r="C169" s="73" t="s">
        <v>453</v>
      </c>
    </row>
    <row r="170" spans="1:3" s="80" customFormat="1" x14ac:dyDescent="0.25">
      <c r="A170" s="90" t="s">
        <v>465</v>
      </c>
      <c r="B170" s="100">
        <v>45139</v>
      </c>
      <c r="C170" s="79" t="s">
        <v>152</v>
      </c>
    </row>
    <row r="171" spans="1:3" s="74" customFormat="1" x14ac:dyDescent="0.25">
      <c r="A171" s="128"/>
      <c r="B171" s="72"/>
      <c r="C171" s="73" t="s">
        <v>466</v>
      </c>
    </row>
    <row r="172" spans="1:3" x14ac:dyDescent="0.25">
      <c r="A172" s="85" t="s">
        <v>467</v>
      </c>
      <c r="B172" s="69">
        <v>45278</v>
      </c>
      <c r="C172" s="71" t="s">
        <v>468</v>
      </c>
    </row>
    <row r="173" spans="1:3" x14ac:dyDescent="0.25">
      <c r="C173" s="71" t="s">
        <v>469</v>
      </c>
    </row>
    <row r="174" spans="1:3" x14ac:dyDescent="0.25">
      <c r="C174" s="71" t="s">
        <v>470</v>
      </c>
    </row>
    <row r="175" spans="1:3" x14ac:dyDescent="0.25">
      <c r="C175" s="71" t="s">
        <v>471</v>
      </c>
    </row>
    <row r="176" spans="1:3" x14ac:dyDescent="0.25">
      <c r="C176" s="71" t="s">
        <v>472</v>
      </c>
    </row>
    <row r="177" spans="1:3" s="74" customFormat="1" x14ac:dyDescent="0.25">
      <c r="A177" s="88"/>
      <c r="B177" s="72"/>
      <c r="C177" s="73" t="s">
        <v>473</v>
      </c>
    </row>
    <row r="178" spans="1:3" x14ac:dyDescent="0.25">
      <c r="A178" s="85" t="s">
        <v>632</v>
      </c>
      <c r="B178" s="69">
        <v>45441</v>
      </c>
      <c r="C178" s="71" t="s">
        <v>635</v>
      </c>
    </row>
    <row r="179" spans="1:3" x14ac:dyDescent="0.25">
      <c r="C179" s="71" t="s">
        <v>488</v>
      </c>
    </row>
    <row r="180" spans="1:3" x14ac:dyDescent="0.25">
      <c r="C180" s="71" t="s">
        <v>630</v>
      </c>
    </row>
    <row r="181" spans="1:3" x14ac:dyDescent="0.25">
      <c r="C181" s="71" t="s">
        <v>631</v>
      </c>
    </row>
    <row r="182" spans="1:3" x14ac:dyDescent="0.25">
      <c r="C182" s="71" t="s">
        <v>633</v>
      </c>
    </row>
    <row r="183" spans="1:3" x14ac:dyDescent="0.25">
      <c r="C183" s="71" t="s">
        <v>634</v>
      </c>
    </row>
    <row r="184" spans="1:3" x14ac:dyDescent="0.25">
      <c r="C184" s="71" t="s">
        <v>636</v>
      </c>
    </row>
    <row r="185" spans="1:3" x14ac:dyDescent="0.25">
      <c r="C185" s="71" t="s">
        <v>657</v>
      </c>
    </row>
    <row r="186" spans="1:3" s="74" customFormat="1" x14ac:dyDescent="0.25">
      <c r="A186" s="88"/>
      <c r="B186" s="72"/>
      <c r="C186" s="73" t="s">
        <v>668</v>
      </c>
    </row>
    <row r="187" spans="1:3" x14ac:dyDescent="0.25">
      <c r="A187" s="85" t="s">
        <v>671</v>
      </c>
      <c r="B187" s="69">
        <v>45478</v>
      </c>
      <c r="C187" s="71" t="s">
        <v>669</v>
      </c>
    </row>
    <row r="188" spans="1:3" s="74" customFormat="1" x14ac:dyDescent="0.25">
      <c r="A188" s="88"/>
      <c r="B188" s="72"/>
      <c r="C188" s="73" t="s">
        <v>670</v>
      </c>
    </row>
    <row r="189" spans="1:3" s="77" customFormat="1" x14ac:dyDescent="0.25">
      <c r="A189" s="89" t="s">
        <v>672</v>
      </c>
      <c r="B189" s="91">
        <v>45485</v>
      </c>
      <c r="C189" s="76" t="s">
        <v>673</v>
      </c>
    </row>
    <row r="190" spans="1:3" x14ac:dyDescent="0.25">
      <c r="A190" s="85" t="s">
        <v>674</v>
      </c>
      <c r="B190" s="69">
        <v>45509</v>
      </c>
      <c r="C190" s="71" t="s">
        <v>675</v>
      </c>
    </row>
    <row r="191" spans="1:3" x14ac:dyDescent="0.25">
      <c r="C191" s="71" t="s">
        <v>677</v>
      </c>
    </row>
    <row r="192" spans="1:3" x14ac:dyDescent="0.25">
      <c r="C192" s="71" t="s">
        <v>699</v>
      </c>
    </row>
    <row r="193" spans="1:3" x14ac:dyDescent="0.25">
      <c r="C193" s="71" t="s">
        <v>702</v>
      </c>
    </row>
    <row r="194" spans="1:3" s="74" customFormat="1" x14ac:dyDescent="0.25">
      <c r="A194" s="88"/>
      <c r="B194" s="72"/>
      <c r="C194" s="73" t="s">
        <v>704</v>
      </c>
    </row>
    <row r="195" spans="1:3" s="77" customFormat="1" x14ac:dyDescent="0.25">
      <c r="A195" s="89" t="s">
        <v>705</v>
      </c>
      <c r="B195" s="91">
        <v>45518</v>
      </c>
      <c r="C195" s="76" t="s">
        <v>706</v>
      </c>
    </row>
    <row r="196" spans="1:3" s="77" customFormat="1" x14ac:dyDescent="0.25">
      <c r="A196" s="89" t="s">
        <v>708</v>
      </c>
      <c r="B196" s="91">
        <v>45299</v>
      </c>
      <c r="C196" s="76" t="s">
        <v>709</v>
      </c>
    </row>
  </sheetData>
  <sheetProtection algorithmName="SHA-512" hashValue="Nh5J+9PfDUdIZupSdx+4Ca4aDq6YO1VrcWt914Gl/G3B+mfTudCCT1NP/adWy2Dgey8MuqWydiw8P9sQYpd+rg==" saltValue="6Qsc2u2+eabgxKcVjBXtRQ==" spinCount="100000" sheet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DIMENSIONAMENTO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João Paulo Jakobi Moreira</cp:lastModifiedBy>
  <cp:lastPrinted>2024-08-14T12:27:59Z</cp:lastPrinted>
  <dcterms:created xsi:type="dcterms:W3CDTF">2020-07-06T13:14:22Z</dcterms:created>
  <dcterms:modified xsi:type="dcterms:W3CDTF">2025-01-08T20:13:40Z</dcterms:modified>
</cp:coreProperties>
</file>