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showInkAnnotation="0"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0d7eb79df6edb2/Documentos/ALUMIFIX/FERRAMENTAS/DIMENSIONAMENTO INVERSOR/"/>
    </mc:Choice>
  </mc:AlternateContent>
  <xr:revisionPtr revIDLastSave="672" documentId="13_ncr:1_{A6DCC3E1-DFE4-4475-B47F-FB3BE9A1750F}" xr6:coauthVersionLast="47" xr6:coauthVersionMax="47" xr10:uidLastSave="{05BD806D-9B3D-40F5-AB73-5CD54C6E1F27}"/>
  <bookViews>
    <workbookView xWindow="-120" yWindow="-120" windowWidth="29040" windowHeight="15840" xr2:uid="{E27F634C-EE06-4185-824A-EC244D3AA624}"/>
  </bookViews>
  <sheets>
    <sheet name="DIMENSIONAMENTO" sheetId="1" r:id="rId1"/>
    <sheet name="INVERSORES" sheetId="2" state="veryHidden" r:id="rId2"/>
    <sheet name="MÓDULOS" sheetId="3" state="veryHidden" r:id="rId3"/>
    <sheet name="Modificações!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  <c r="AV6" i="2"/>
  <c r="AD6" i="2"/>
  <c r="X43" i="3"/>
  <c r="U43" i="3"/>
  <c r="Q8" i="1"/>
  <c r="T8" i="1"/>
  <c r="Q9" i="1"/>
  <c r="T9" i="1"/>
  <c r="Q10" i="1"/>
  <c r="T10" i="1"/>
  <c r="Q11" i="1"/>
  <c r="T11" i="1"/>
  <c r="Q12" i="1"/>
  <c r="T12" i="1"/>
  <c r="Q13" i="1"/>
  <c r="T13" i="1"/>
  <c r="B24" i="1"/>
  <c r="B23" i="1"/>
  <c r="B22" i="1"/>
  <c r="B21" i="1"/>
  <c r="R16" i="3"/>
  <c r="S16" i="3"/>
  <c r="S41" i="3"/>
  <c r="S39" i="3"/>
  <c r="S14" i="1" l="1"/>
  <c r="P14" i="1"/>
  <c r="B6" i="1"/>
  <c r="M41" i="3"/>
  <c r="M39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M23" i="3"/>
  <c r="W13" i="1" l="1"/>
  <c r="W12" i="1"/>
  <c r="W11" i="1"/>
  <c r="W10" i="1"/>
  <c r="W9" i="1"/>
  <c r="W8" i="1"/>
  <c r="B14" i="1"/>
  <c r="B13" i="1"/>
  <c r="B12" i="1"/>
  <c r="B11" i="1"/>
  <c r="B10" i="1"/>
  <c r="B9" i="1"/>
  <c r="B8" i="1"/>
  <c r="B7" i="1"/>
  <c r="B5" i="1"/>
  <c r="BH6" i="2" l="1"/>
  <c r="BI6" i="2"/>
  <c r="BJ6" i="2"/>
  <c r="BK6" i="2"/>
  <c r="BU6" i="2"/>
  <c r="BL6" i="2"/>
  <c r="BM6" i="2"/>
  <c r="BN6" i="2"/>
  <c r="BG6" i="2"/>
  <c r="L23" i="3"/>
  <c r="L22" i="3"/>
  <c r="M22" i="3"/>
  <c r="C22" i="3"/>
  <c r="D22" i="3"/>
  <c r="E22" i="3"/>
  <c r="F22" i="3"/>
  <c r="G22" i="3"/>
  <c r="H22" i="3"/>
  <c r="I22" i="3"/>
  <c r="J22" i="3"/>
  <c r="K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U22" i="3"/>
  <c r="BV22" i="3"/>
  <c r="BW22" i="3"/>
  <c r="BX22" i="3"/>
  <c r="BY22" i="3"/>
  <c r="BZ22" i="3"/>
  <c r="CA22" i="3"/>
  <c r="CB22" i="3"/>
  <c r="CC22" i="3"/>
  <c r="CD22" i="3"/>
  <c r="CE22" i="3"/>
  <c r="CF22" i="3"/>
  <c r="CG22" i="3"/>
  <c r="CH22" i="3"/>
  <c r="CI22" i="3"/>
  <c r="CJ22" i="3"/>
  <c r="CK22" i="3"/>
  <c r="CL22" i="3"/>
  <c r="CM22" i="3"/>
  <c r="CN22" i="3"/>
  <c r="C23" i="3"/>
  <c r="D23" i="3"/>
  <c r="E23" i="3"/>
  <c r="F23" i="3"/>
  <c r="G23" i="3"/>
  <c r="H23" i="3"/>
  <c r="I23" i="3"/>
  <c r="J23" i="3"/>
  <c r="K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BR23" i="3"/>
  <c r="BS23" i="3"/>
  <c r="BT23" i="3"/>
  <c r="BU23" i="3"/>
  <c r="BV23" i="3"/>
  <c r="BW23" i="3"/>
  <c r="BX23" i="3"/>
  <c r="BY23" i="3"/>
  <c r="BZ23" i="3"/>
  <c r="CA23" i="3"/>
  <c r="CB23" i="3"/>
  <c r="CC23" i="3"/>
  <c r="CD23" i="3"/>
  <c r="CE23" i="3"/>
  <c r="CF23" i="3"/>
  <c r="CG23" i="3"/>
  <c r="CH23" i="3"/>
  <c r="CI23" i="3"/>
  <c r="CJ23" i="3"/>
  <c r="CK23" i="3"/>
  <c r="CL23" i="3"/>
  <c r="CM23" i="3"/>
  <c r="CN23" i="3"/>
  <c r="C24" i="3"/>
  <c r="D24" i="3"/>
  <c r="E24" i="3"/>
  <c r="F24" i="3"/>
  <c r="G24" i="3"/>
  <c r="H24" i="3"/>
  <c r="I24" i="3"/>
  <c r="J24" i="3"/>
  <c r="K24" i="3"/>
  <c r="L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BR24" i="3"/>
  <c r="BS24" i="3"/>
  <c r="BT24" i="3"/>
  <c r="BU24" i="3"/>
  <c r="BV24" i="3"/>
  <c r="BW24" i="3"/>
  <c r="BX24" i="3"/>
  <c r="BY24" i="3"/>
  <c r="BZ24" i="3"/>
  <c r="CA24" i="3"/>
  <c r="CB24" i="3"/>
  <c r="CC24" i="3"/>
  <c r="CD24" i="3"/>
  <c r="CE24" i="3"/>
  <c r="CF24" i="3"/>
  <c r="CG24" i="3"/>
  <c r="CH24" i="3"/>
  <c r="CI24" i="3"/>
  <c r="CJ24" i="3"/>
  <c r="CK24" i="3"/>
  <c r="CL24" i="3"/>
  <c r="CM24" i="3"/>
  <c r="CN24" i="3"/>
  <c r="C25" i="3"/>
  <c r="D25" i="3"/>
  <c r="E25" i="3"/>
  <c r="F25" i="3"/>
  <c r="G25" i="3"/>
  <c r="H25" i="3"/>
  <c r="I25" i="3"/>
  <c r="J25" i="3"/>
  <c r="K25" i="3"/>
  <c r="L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U25" i="3"/>
  <c r="BV25" i="3"/>
  <c r="BW25" i="3"/>
  <c r="BX25" i="3"/>
  <c r="BY25" i="3"/>
  <c r="BZ25" i="3"/>
  <c r="CA25" i="3"/>
  <c r="CB25" i="3"/>
  <c r="CC25" i="3"/>
  <c r="CD25" i="3"/>
  <c r="CE25" i="3"/>
  <c r="CF25" i="3"/>
  <c r="CG25" i="3"/>
  <c r="CH25" i="3"/>
  <c r="CI25" i="3"/>
  <c r="CJ25" i="3"/>
  <c r="CK25" i="3"/>
  <c r="CL25" i="3"/>
  <c r="CM25" i="3"/>
  <c r="CN25" i="3"/>
  <c r="C26" i="3"/>
  <c r="D26" i="3"/>
  <c r="E26" i="3"/>
  <c r="F26" i="3"/>
  <c r="G26" i="3"/>
  <c r="H26" i="3"/>
  <c r="I26" i="3"/>
  <c r="J26" i="3"/>
  <c r="K26" i="3"/>
  <c r="L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BR26" i="3"/>
  <c r="BS26" i="3"/>
  <c r="BT26" i="3"/>
  <c r="BU26" i="3"/>
  <c r="BV26" i="3"/>
  <c r="BW26" i="3"/>
  <c r="BX26" i="3"/>
  <c r="BY26" i="3"/>
  <c r="BZ26" i="3"/>
  <c r="CA26" i="3"/>
  <c r="CB26" i="3"/>
  <c r="CC26" i="3"/>
  <c r="CD26" i="3"/>
  <c r="CE26" i="3"/>
  <c r="CF26" i="3"/>
  <c r="CG26" i="3"/>
  <c r="CH26" i="3"/>
  <c r="CI26" i="3"/>
  <c r="CJ26" i="3"/>
  <c r="CK26" i="3"/>
  <c r="CL26" i="3"/>
  <c r="CM26" i="3"/>
  <c r="CN26" i="3"/>
  <c r="B26" i="3"/>
  <c r="B25" i="3"/>
  <c r="B24" i="3"/>
  <c r="B23" i="3"/>
  <c r="B22" i="3"/>
  <c r="B37" i="1"/>
  <c r="B36" i="1"/>
  <c r="B35" i="1"/>
  <c r="B34" i="1"/>
  <c r="B33" i="1"/>
  <c r="B32" i="1"/>
  <c r="B31" i="1"/>
  <c r="B30" i="1"/>
  <c r="B29" i="1" s="1"/>
  <c r="V14" i="1" l="1"/>
  <c r="B17" i="1" s="1"/>
  <c r="I59" i="1"/>
  <c r="I58" i="1"/>
  <c r="C27" i="1" l="1"/>
  <c r="P53" i="1" l="1"/>
  <c r="B90" i="1" l="1"/>
  <c r="P30" i="1" l="1"/>
  <c r="P27" i="1"/>
  <c r="P26" i="1"/>
  <c r="P21" i="1"/>
  <c r="P20" i="1"/>
  <c r="P19" i="1"/>
  <c r="Q26" i="1" l="1"/>
  <c r="B58" i="1"/>
  <c r="B67" i="1" s="1"/>
  <c r="C58" i="1"/>
  <c r="C67" i="1" s="1"/>
  <c r="D58" i="1"/>
  <c r="D67" i="1" s="1"/>
  <c r="E58" i="1"/>
  <c r="E67" i="1" s="1"/>
  <c r="F58" i="1"/>
  <c r="G58" i="1"/>
  <c r="S61" i="1"/>
  <c r="T61" i="1"/>
  <c r="S62" i="1"/>
  <c r="T62" i="1"/>
  <c r="S63" i="1"/>
  <c r="T63" i="1"/>
  <c r="F65" i="1"/>
  <c r="G65" i="1"/>
  <c r="T60" i="1"/>
  <c r="S60" i="1"/>
  <c r="F64" i="1"/>
  <c r="G64" i="1"/>
  <c r="I62" i="1"/>
  <c r="P52" i="1"/>
  <c r="F67" i="1" l="1"/>
  <c r="F66" i="1" s="1"/>
  <c r="G67" i="1"/>
  <c r="G66" i="1" s="1"/>
  <c r="E66" i="1"/>
  <c r="F63" i="1"/>
  <c r="G63" i="1"/>
  <c r="C66" i="1"/>
  <c r="D66" i="1" l="1"/>
  <c r="B66" i="1"/>
  <c r="B85" i="1"/>
  <c r="L62" i="1" s="1"/>
  <c r="B16" i="1"/>
  <c r="B15" i="1"/>
  <c r="R52" i="1" l="1"/>
  <c r="B40" i="1" l="1"/>
  <c r="B53" i="1"/>
  <c r="F68" i="1"/>
  <c r="F69" i="1" s="1"/>
  <c r="G68" i="1"/>
  <c r="G69" i="1" s="1"/>
  <c r="D64" i="1"/>
  <c r="E64" i="1"/>
  <c r="D65" i="1"/>
  <c r="B54" i="1" l="1"/>
  <c r="I63" i="1"/>
  <c r="G70" i="1"/>
  <c r="F70" i="1"/>
  <c r="D70" i="1"/>
  <c r="R53" i="1"/>
  <c r="E68" i="1"/>
  <c r="E69" i="1" s="1"/>
  <c r="D68" i="1"/>
  <c r="D69" i="1" s="1"/>
  <c r="C68" i="1"/>
  <c r="C69" i="1" s="1"/>
  <c r="B68" i="1"/>
  <c r="B69" i="1" s="1"/>
  <c r="E65" i="1"/>
  <c r="C65" i="1"/>
  <c r="B65" i="1"/>
  <c r="C64" i="1"/>
  <c r="B64" i="1"/>
  <c r="R63" i="1"/>
  <c r="Q63" i="1"/>
  <c r="P63" i="1"/>
  <c r="O63" i="1"/>
  <c r="R62" i="1"/>
  <c r="Q62" i="1"/>
  <c r="P62" i="1"/>
  <c r="O62" i="1"/>
  <c r="R61" i="1"/>
  <c r="Q61" i="1"/>
  <c r="P61" i="1"/>
  <c r="O61" i="1"/>
  <c r="R60" i="1"/>
  <c r="Q60" i="1"/>
  <c r="P60" i="1"/>
  <c r="O60" i="1"/>
  <c r="B45" i="1"/>
  <c r="B44" i="1"/>
  <c r="B43" i="1"/>
  <c r="B42" i="1"/>
  <c r="B41" i="1"/>
  <c r="T70" i="1" l="1"/>
  <c r="G76" i="1"/>
  <c r="F76" i="1"/>
  <c r="D76" i="1"/>
  <c r="E76" i="1"/>
  <c r="B76" i="1"/>
  <c r="C76" i="1"/>
  <c r="D71" i="1"/>
  <c r="D73" i="1" s="1"/>
  <c r="G71" i="1"/>
  <c r="G73" i="1" s="1"/>
  <c r="F71" i="1"/>
  <c r="F73" i="1" s="1"/>
  <c r="G78" i="1"/>
  <c r="F78" i="1"/>
  <c r="C70" i="1"/>
  <c r="B70" i="1"/>
  <c r="E70" i="1"/>
  <c r="E71" i="1"/>
  <c r="E73" i="1" s="1"/>
  <c r="B55" i="1"/>
  <c r="B71" i="1"/>
  <c r="B73" i="1" s="1"/>
  <c r="C71" i="1"/>
  <c r="C73" i="1" s="1"/>
  <c r="E63" i="1"/>
  <c r="D63" i="1"/>
  <c r="C63" i="1"/>
  <c r="D78" i="1"/>
  <c r="C78" i="1"/>
  <c r="E78" i="1"/>
  <c r="H56" i="1"/>
  <c r="B78" i="1"/>
  <c r="T68" i="1"/>
  <c r="B63" i="1"/>
  <c r="H64" i="1"/>
  <c r="D74" i="1"/>
  <c r="D75" i="1" s="1"/>
  <c r="F74" i="1"/>
  <c r="F75" i="1" s="1"/>
  <c r="G74" i="1"/>
  <c r="G75" i="1" s="1"/>
  <c r="B51" i="1"/>
  <c r="D72" i="1" s="1"/>
  <c r="B84" i="1"/>
  <c r="B83" i="1"/>
  <c r="C74" i="1"/>
  <c r="C75" i="1" s="1"/>
  <c r="B52" i="1"/>
  <c r="E74" i="1"/>
  <c r="J62" i="1"/>
  <c r="B102" i="1" s="1"/>
  <c r="B74" i="1"/>
  <c r="F77" i="1" l="1"/>
  <c r="G77" i="1"/>
  <c r="G72" i="1"/>
  <c r="F72" i="1"/>
  <c r="D77" i="1"/>
  <c r="E72" i="1"/>
  <c r="B77" i="1"/>
  <c r="E77" i="1"/>
  <c r="B72" i="1"/>
  <c r="C72" i="1"/>
  <c r="C77" i="1"/>
  <c r="E79" i="1"/>
  <c r="F79" i="1"/>
  <c r="C79" i="1"/>
  <c r="D79" i="1"/>
  <c r="G79" i="1"/>
  <c r="B79" i="1"/>
  <c r="B86" i="1"/>
  <c r="K63" i="1" s="1"/>
  <c r="H57" i="1"/>
  <c r="T72" i="1"/>
  <c r="B89" i="1" s="1"/>
  <c r="E75" i="1"/>
  <c r="T65" i="1"/>
  <c r="Q74" i="1" s="1"/>
  <c r="R74" i="1" s="1"/>
  <c r="K62" i="1"/>
  <c r="B103" i="1"/>
  <c r="B104" i="1" s="1"/>
  <c r="B46" i="1"/>
  <c r="B47" i="1"/>
  <c r="B75" i="1"/>
  <c r="B81" i="1" l="1"/>
  <c r="M64" i="1"/>
  <c r="C86" i="1"/>
</calcChain>
</file>

<file path=xl/sharedStrings.xml><?xml version="1.0" encoding="utf-8"?>
<sst xmlns="http://schemas.openxmlformats.org/spreadsheetml/2006/main" count="735" uniqueCount="568">
  <si>
    <t>SUN-75K-G</t>
  </si>
  <si>
    <t>Potência máxima CC entrada [kWp]</t>
  </si>
  <si>
    <t>Tensão CC máxima de entrada [V]</t>
  </si>
  <si>
    <t>Tensão mínima CC de entrada [V]</t>
  </si>
  <si>
    <t>Potência de saída CA nominal [kW]</t>
  </si>
  <si>
    <t>MÓDULO</t>
  </si>
  <si>
    <t>R$</t>
  </si>
  <si>
    <t>R$/Wp</t>
  </si>
  <si>
    <t>Potência do módulo [Wp]</t>
  </si>
  <si>
    <t>Temperatura mínima local [°C]</t>
  </si>
  <si>
    <t>Temperatura máxima local [°C]</t>
  </si>
  <si>
    <t>Temperatura nominal [°C]</t>
  </si>
  <si>
    <t>Coeficiente de tensão [%/°C]</t>
  </si>
  <si>
    <t>Coeficiente de corrente [%/°C]</t>
  </si>
  <si>
    <t>Coeficiente de potência [%/°C]</t>
  </si>
  <si>
    <t>Tensão no ponto de máxima potência (Vmp) [V]</t>
  </si>
  <si>
    <t>Tensão de circuito aberto (Vca) [V]</t>
  </si>
  <si>
    <t>Corrente no ponto de máxima potência (Imp) [A]</t>
  </si>
  <si>
    <t>Corrente de curto-circuito (Icc) [A]</t>
  </si>
  <si>
    <t>Vmpp corrigida (por Tnom) [V]</t>
  </si>
  <si>
    <t>Impp corrigida (por Tmáx) [A]</t>
  </si>
  <si>
    <t>Isc corrigida (por Tmáx) [A]</t>
  </si>
  <si>
    <t>Potência do módulo na máxima temperatura [W]</t>
  </si>
  <si>
    <t>Tensão máxima da série [V]</t>
  </si>
  <si>
    <t>Tensão do MPPT na máxima potência (em Tmín) [V]</t>
  </si>
  <si>
    <t>String 1</t>
  </si>
  <si>
    <t>String 2</t>
  </si>
  <si>
    <t>TOTAL</t>
  </si>
  <si>
    <t>kWp</t>
  </si>
  <si>
    <t>String 3</t>
  </si>
  <si>
    <t>String 4</t>
  </si>
  <si>
    <t>Potência por MPPT [kWp]</t>
  </si>
  <si>
    <t>Potência dos módulos na máxima temperatura [kWp]</t>
  </si>
  <si>
    <t>Potência CC do projeto [kWp]</t>
  </si>
  <si>
    <t>Fator de dimensionamento máximo pelo manual</t>
  </si>
  <si>
    <t>Fator de dimensionamento considerado no projeto</t>
  </si>
  <si>
    <t>Geração projetada [kWh/dia]</t>
  </si>
  <si>
    <t>Geração projetada [kWh/mês]</t>
  </si>
  <si>
    <t>Geração projetada [kWh/ano]</t>
  </si>
  <si>
    <t>Solis 1P2K(mini)</t>
  </si>
  <si>
    <t>Solis 1P3K(mini)</t>
  </si>
  <si>
    <t>Solis 1P4K</t>
  </si>
  <si>
    <t>Solis 1P5K</t>
  </si>
  <si>
    <t>Solis 1P7K</t>
  </si>
  <si>
    <t>Solis 1P10K</t>
  </si>
  <si>
    <t>Solis 3P10K-LV</t>
  </si>
  <si>
    <t>Solis 3P10K</t>
  </si>
  <si>
    <t>Solis 3P15K-LV</t>
  </si>
  <si>
    <t>Solis 3P15K</t>
  </si>
  <si>
    <t>Solis 3P20K-LV</t>
  </si>
  <si>
    <t>Solis 3P20K</t>
  </si>
  <si>
    <t>Solis 3P25K-LV</t>
  </si>
  <si>
    <t>Solis 3P25K</t>
  </si>
  <si>
    <t>Solis 3P30K</t>
  </si>
  <si>
    <t>Solis 3P40K</t>
  </si>
  <si>
    <t>Solis 3P50K</t>
  </si>
  <si>
    <t>Solis 3P60K</t>
  </si>
  <si>
    <t>Potência máxima CC entrada (kWp)</t>
  </si>
  <si>
    <t>Tensão máxima CC de entrada (Vcc)</t>
  </si>
  <si>
    <t>Tensão mínima CC de entrada (Vcc)</t>
  </si>
  <si>
    <t>Número de mppt's</t>
  </si>
  <si>
    <t>Potência de saída CA nominal (kW)</t>
  </si>
  <si>
    <t>Ecosolys 1000</t>
  </si>
  <si>
    <t>Ecosolys 2000+</t>
  </si>
  <si>
    <t>Ecosolys 3000</t>
  </si>
  <si>
    <t>Ecosolys 5K</t>
  </si>
  <si>
    <t>Ecosolys 10,1K</t>
  </si>
  <si>
    <t>Ecosolys 12K</t>
  </si>
  <si>
    <t>Ecosolys 15K</t>
  </si>
  <si>
    <t>SUN-33K-G</t>
  </si>
  <si>
    <t>MPPT máx</t>
  </si>
  <si>
    <t>INVERSORES</t>
  </si>
  <si>
    <t>Número do MPPT</t>
  </si>
  <si>
    <t>DAH 320Wp</t>
  </si>
  <si>
    <t>DAH 330Wp</t>
  </si>
  <si>
    <t>DAH 400Wp</t>
  </si>
  <si>
    <t>OSDA 340Wp</t>
  </si>
  <si>
    <t>Número de strings MPPT1</t>
  </si>
  <si>
    <t>Número de strings MPPT2</t>
  </si>
  <si>
    <t>Número de strings MPPT3</t>
  </si>
  <si>
    <t>Número de strings MPPT4</t>
  </si>
  <si>
    <t>Número de strings MPPT5</t>
  </si>
  <si>
    <t>Número de strings MPPT6</t>
  </si>
  <si>
    <t>Número mínimo de módulos para operação do inversor</t>
  </si>
  <si>
    <t>MPPT min</t>
  </si>
  <si>
    <t>Corrente MPPT1</t>
  </si>
  <si>
    <t>Corrente MPPT2</t>
  </si>
  <si>
    <t>Corrente MPPT3</t>
  </si>
  <si>
    <t>Corrente MPPT4</t>
  </si>
  <si>
    <t>Corrente MPPT5</t>
  </si>
  <si>
    <t>Corrente MPPT6</t>
  </si>
  <si>
    <t>SUN-12K-G03</t>
  </si>
  <si>
    <t>SUN-15K-G03</t>
  </si>
  <si>
    <t>SUN-12K-G02-LV</t>
  </si>
  <si>
    <t>SUN-15K-G02-LV</t>
  </si>
  <si>
    <t>SUN-20K-G02-LV</t>
  </si>
  <si>
    <t>SUN-25K-G02-LV</t>
  </si>
  <si>
    <t>SUN-30K-G02-LV</t>
  </si>
  <si>
    <t>SUN-33K-G02-LV</t>
  </si>
  <si>
    <t>SUN-35K-G02-LV</t>
  </si>
  <si>
    <t xml:space="preserve">Voc corrigida (por Tmín) [V] </t>
  </si>
  <si>
    <t>SUN-30K-G</t>
  </si>
  <si>
    <t>QTDE MÓD MIN</t>
  </si>
  <si>
    <t>por Voc</t>
  </si>
  <si>
    <t>por Vmp</t>
  </si>
  <si>
    <t xml:space="preserve">strings/mppt1 = </t>
  </si>
  <si>
    <t xml:space="preserve">strings/mppt2 = </t>
  </si>
  <si>
    <t xml:space="preserve">strings/mppt3 = </t>
  </si>
  <si>
    <t xml:space="preserve">strings/mppt4 = </t>
  </si>
  <si>
    <t xml:space="preserve">strings/mppt5 = </t>
  </si>
  <si>
    <t xml:space="preserve">strings/mppt6 = </t>
  </si>
  <si>
    <t>STRINGS</t>
  </si>
  <si>
    <t>CORRENTES</t>
  </si>
  <si>
    <t>corrente/mppt2 =</t>
  </si>
  <si>
    <t>corrente/mppt3 =</t>
  </si>
  <si>
    <t>corrente/mppt4 =</t>
  </si>
  <si>
    <t>corrente/mppt5 =</t>
  </si>
  <si>
    <t>corrente/mppt6 =</t>
  </si>
  <si>
    <t xml:space="preserve">corrente/mppt1 = </t>
  </si>
  <si>
    <t>fórmula:</t>
  </si>
  <si>
    <t>Tensão mínima de trabalho do MPPT [V]</t>
  </si>
  <si>
    <t>Tensão máxima de trabalho do MPPT [V]</t>
  </si>
  <si>
    <t>start inv</t>
  </si>
  <si>
    <t>mppt min</t>
  </si>
  <si>
    <t>Número máximo de módulos  em série para o inversor</t>
  </si>
  <si>
    <t>Tensão de máxima eficiência [V]</t>
  </si>
  <si>
    <t>MAPA MPPT E STRING ZEROS E UNS</t>
  </si>
  <si>
    <t>FÓRMULA GRANDE STRING BOX (4x MPPT):</t>
  </si>
  <si>
    <t>ENTRADAS:</t>
  </si>
  <si>
    <t>SAÍDAS:</t>
  </si>
  <si>
    <t>fórmula antiga de string box</t>
  </si>
  <si>
    <t>TENSÃO:</t>
  </si>
  <si>
    <t>2E/2S-1000Vcc</t>
  </si>
  <si>
    <t>4E/2S-1000Vcc</t>
  </si>
  <si>
    <t>3E/3S-600Vcc</t>
  </si>
  <si>
    <t>6E/2S-1000Vcc</t>
  </si>
  <si>
    <t>8E/4S-1000Vcc</t>
  </si>
  <si>
    <t>12E/4S-1000Vcc</t>
  </si>
  <si>
    <t>8E/4S-1000Vcc*</t>
  </si>
  <si>
    <t>Corrente máxima MPPTs [A]</t>
  </si>
  <si>
    <t>Quantidade de módulos [Vmp em Tnom] para eficiência máxima</t>
  </si>
  <si>
    <t>PROJETO</t>
  </si>
  <si>
    <t>Performance do sistema [%]</t>
  </si>
  <si>
    <t>string1</t>
  </si>
  <si>
    <t>string2</t>
  </si>
  <si>
    <t>string3</t>
  </si>
  <si>
    <t>string4</t>
  </si>
  <si>
    <t>string5</t>
  </si>
  <si>
    <t>string6</t>
  </si>
  <si>
    <t>total de string =</t>
  </si>
  <si>
    <t>projetando para</t>
  </si>
  <si>
    <t>N/A para as strings por MPPT</t>
  </si>
  <si>
    <t xml:space="preserve">problema são os inversores </t>
  </si>
  <si>
    <t>com 1+2</t>
  </si>
  <si>
    <t>Módulos por string (pelo FDI, usando total de strings)</t>
  </si>
  <si>
    <t>Vmpp corrigida (por Tmax) [V]</t>
  </si>
  <si>
    <t>Tensão Vmp mínima da string [V em Tmax]</t>
  </si>
  <si>
    <t>Tensão Vmp mínima da string [V em Tnom]</t>
  </si>
  <si>
    <t>Aproximação da tensão de máxima eficiência [Tnom, 1 = mais próximo]</t>
  </si>
  <si>
    <t>^ Verificações</t>
  </si>
  <si>
    <t>DAH 540Wp</t>
  </si>
  <si>
    <t>SUNOVA 550Wp</t>
  </si>
  <si>
    <t>DAH 440Wp</t>
  </si>
  <si>
    <t>VERSÃO</t>
  </si>
  <si>
    <t>v1</t>
  </si>
  <si>
    <t>v2</t>
  </si>
  <si>
    <t>v3</t>
  </si>
  <si>
    <t>v4</t>
  </si>
  <si>
    <t>v5.1.0</t>
  </si>
  <si>
    <t>lançamento da planilha de dimensionamento de inversores</t>
  </si>
  <si>
    <t>ATUALIZAÇÕES</t>
  </si>
  <si>
    <t>??</t>
  </si>
  <si>
    <t>retomada da v2</t>
  </si>
  <si>
    <t>projeto com mapeamento de MPPTs (MPPTs independentes)</t>
  </si>
  <si>
    <t>inclusão da aba "Modificações!" para acompanhamento do desenvolvimento</t>
  </si>
  <si>
    <t>travamento de células para evitar sobrescrevê-las</t>
  </si>
  <si>
    <t>verificações de conformidade dos MPPTs/strings</t>
  </si>
  <si>
    <t>banco de dados dos inversores destacado (aba "INVERSORES")</t>
  </si>
  <si>
    <t>banco de dados dos inversores selecionável via lista suspensa (puxa os dados dos inversores de "INVERSORES")</t>
  </si>
  <si>
    <t>banco de dados dos módulos destacado e selecionável via lista suspensa (puxa os dados dos módulos de "MÓDULOS")</t>
  </si>
  <si>
    <t>ocultamento de informações irrelevantes dos módulos</t>
  </si>
  <si>
    <t>a partir de agora será usada a nomenclatura "X.Y.Z" ao invés de v1, v2, v3...</t>
  </si>
  <si>
    <t>v5 (v5.0.0)</t>
  </si>
  <si>
    <t>"v5" renomeada como "v5.0.0"</t>
  </si>
  <si>
    <t>inclusão de +2 MPPTs no mapeamento (total de 6)</t>
  </si>
  <si>
    <t>verificação individual de strings por MPPT (cada MPPT tem a sua quantidade correta de strings)</t>
  </si>
  <si>
    <t>inclusão da aproximação da tensão de eficiência máxima baseada na Tnominal</t>
  </si>
  <si>
    <t>inclusão do número de módulos mínimos para a série (ou seja, para start do inversor) baseada na Tmáxima</t>
  </si>
  <si>
    <t>inclusão da string box pré-sugerida</t>
  </si>
  <si>
    <t>inclusão da informação "Módulo e inversor" ao lado do mapa das strings</t>
  </si>
  <si>
    <r>
      <t xml:space="preserve">a partir de agora, arquivamento de </t>
    </r>
    <r>
      <rPr>
        <b/>
        <sz val="11"/>
        <color theme="1"/>
        <rFont val="Calibri"/>
        <family val="2"/>
        <scheme val="minor"/>
      </rPr>
      <t>TODAS</t>
    </r>
    <r>
      <rPr>
        <sz val="11"/>
        <color theme="1"/>
        <rFont val="Calibri"/>
        <family val="2"/>
        <scheme val="minor"/>
      </rPr>
      <t xml:space="preserve"> as versões após lançamento</t>
    </r>
  </si>
  <si>
    <r>
      <t xml:space="preserve">a partir de agora, </t>
    </r>
    <r>
      <rPr>
        <b/>
        <sz val="11"/>
        <color theme="1"/>
        <rFont val="Calibri"/>
        <family val="2"/>
        <scheme val="minor"/>
      </rPr>
      <t>TODAS</t>
    </r>
    <r>
      <rPr>
        <sz val="11"/>
        <color theme="1"/>
        <rFont val="Calibri"/>
        <family val="2"/>
        <scheme val="minor"/>
      </rPr>
      <t xml:space="preserve"> as atualizações aparecerão na nova aba "Modificações!"</t>
    </r>
  </si>
  <si>
    <t>inclusão da data no canto superior esquerdo</t>
  </si>
  <si>
    <t>Tensão de eficiência máxima [V]</t>
  </si>
  <si>
    <r>
      <t xml:space="preserve">String Box </t>
    </r>
    <r>
      <rPr>
        <b/>
        <sz val="11"/>
        <color theme="1"/>
        <rFont val="Calibri"/>
        <family val="2"/>
        <scheme val="minor"/>
      </rPr>
      <t>pré-definida</t>
    </r>
  </si>
  <si>
    <t>substituição do "nome + data" por "versão + data"</t>
  </si>
  <si>
    <t>Preço (R$)</t>
  </si>
  <si>
    <t>ampliação da capacidade do banco de dados dos módulos</t>
  </si>
  <si>
    <t>inclusão de R$/Wp com R$ editável na aba "DIMENSIONAMENTO" para os módulos e na aba "MÓDULOS"</t>
  </si>
  <si>
    <t>1E/1S-1000Vcc</t>
  </si>
  <si>
    <t>string boxes pré-definidas atualizadas</t>
  </si>
  <si>
    <r>
      <rPr>
        <b/>
        <sz val="11"/>
        <color theme="1"/>
        <rFont val="Calibri"/>
        <family val="2"/>
        <scheme val="minor"/>
      </rPr>
      <t>ABANDONADO:</t>
    </r>
    <r>
      <rPr>
        <sz val="11"/>
        <color theme="1"/>
        <rFont val="Calibri"/>
        <family val="2"/>
        <scheme val="minor"/>
      </rPr>
      <t xml:space="preserve"> projeto com tensões separadas de cada string do inversor para permitir variedade</t>
    </r>
  </si>
  <si>
    <t>senha: 2019@</t>
  </si>
  <si>
    <t>adição da célula "seleção neutra"</t>
  </si>
  <si>
    <t>v5.2.0</t>
  </si>
  <si>
    <t>inclusão da corrente de curto-circuito dos inversores (e cálculo correspondente)</t>
  </si>
  <si>
    <t>informação "+MOD" movida da tensão de eficiência máxima para as ^Verificações das Vmp</t>
  </si>
  <si>
    <t>CORRENTES DE CURTO</t>
  </si>
  <si>
    <t>Corrente de curto MPPT1</t>
  </si>
  <si>
    <t>Corrente de curto MPPT2</t>
  </si>
  <si>
    <t>Corrente de curto MPPT3</t>
  </si>
  <si>
    <t>Corrente de curto MPPT4</t>
  </si>
  <si>
    <t>Corrente de curto MPPT5</t>
  </si>
  <si>
    <t>Corrente de curto MPPT6</t>
  </si>
  <si>
    <t>Corrente de curto-circuito máxima MPPTs [A]</t>
  </si>
  <si>
    <t>v5.2.1</t>
  </si>
  <si>
    <t>adicionada informação "N/A" (não se aplica) à "aproximação da máxima eficiência" e às correntes de curto</t>
  </si>
  <si>
    <t>v5.3.0</t>
  </si>
  <si>
    <t>atualizada coluna "versão" em "Modificações!" (desfeita a mesclagem de células, mantida em uma única célula)</t>
  </si>
  <si>
    <t>adicionada uma coluna para inversor editável em "INVERSORES"</t>
  </si>
  <si>
    <t>EDITÁVEL</t>
  </si>
  <si>
    <t>TESTE</t>
  </si>
  <si>
    <t>adicionado módulo OSDA 450Wp</t>
  </si>
  <si>
    <t>adicionada observação sobre inversor editável na aba principal</t>
  </si>
  <si>
    <t>corrigida informação "+MOD" na aba principal (calculava apenas para a string 1, agora calcula para todas)</t>
  </si>
  <si>
    <t>obs.:</t>
  </si>
  <si>
    <t>adicionada observação "preencher as strings em ordem" acima do mapa de strings</t>
  </si>
  <si>
    <t>SUN-10K-G03-LV</t>
  </si>
  <si>
    <t>SUN-10K-G03</t>
  </si>
  <si>
    <t>adicionados inversores trifásicos 10kW-220V e 10kW-380V</t>
  </si>
  <si>
    <t>SUN-5K-G (mono)</t>
  </si>
  <si>
    <t>SUN-8K-G (mono)</t>
  </si>
  <si>
    <t>SUN-10K-G (mono)</t>
  </si>
  <si>
    <t>SUN-3K-G (mono)</t>
  </si>
  <si>
    <t>remoção do R$/Wp (ocultado)</t>
  </si>
  <si>
    <t>inversores Deye monofásicos renomeados com "(mono)"</t>
  </si>
  <si>
    <t>adicionado alerta de F.D. no resumo ao lado do mapa de strings</t>
  </si>
  <si>
    <t>remoção da célula "seleção neutra"</t>
  </si>
  <si>
    <t>adicionado F.D. do manual para o resumo ao lado do mapa de strings</t>
  </si>
  <si>
    <t>alertas próximos ao mapa de strings reposicionados</t>
  </si>
  <si>
    <t>adicionada uma coluna para módulo editável em "MÓDULOS"</t>
  </si>
  <si>
    <t>adicionada observação sobre módulo editável na aba principal</t>
  </si>
  <si>
    <t>v5.4.0</t>
  </si>
  <si>
    <t>adicionada verificação de potência máxima por MPPT</t>
  </si>
  <si>
    <t>Potência máxima por MPPT [kWp]</t>
  </si>
  <si>
    <t>adicionado módulo OSDA 450Wp (não havia sido adicionado na v5.3.0)</t>
  </si>
  <si>
    <t>OSDA 450Wp</t>
  </si>
  <si>
    <t>adicionada informação de potência máxima por MPPT</t>
  </si>
  <si>
    <t>v5.4.1</t>
  </si>
  <si>
    <t>adicionado módulo DAH 545Wp</t>
  </si>
  <si>
    <t>adicionado módulo OSDA 545Wp</t>
  </si>
  <si>
    <t>Corrente de curto-circuito (Isc) [A]</t>
  </si>
  <si>
    <t>Tensão de circuito aberto (Voc) [V]</t>
  </si>
  <si>
    <t>renomeadas informações dos módulos (Icc para Isc, Vca para Voc)</t>
  </si>
  <si>
    <t>DAH 545Wp</t>
  </si>
  <si>
    <t>OSDA 545Wp</t>
  </si>
  <si>
    <t>alteradas informações dos inversores Deye monofásicos de 3kW, 5kW e 8kW (corrente alterada para 13A e Isc para 19,5A, tensão de partida para 80V, tensão mín do MPPT para 70V, kWp do 8kW para 10,4)</t>
  </si>
  <si>
    <t>DATA</t>
  </si>
  <si>
    <t>inclusão do inversor SUN-75K-G03 (com 6 MPPTs)</t>
  </si>
  <si>
    <t>inclusão do módulo TRINA 540Wp</t>
  </si>
  <si>
    <t>inclusão do módulo DAH 550Wp</t>
  </si>
  <si>
    <t>inclusão do módulo SHINEFAR 550Wp</t>
  </si>
  <si>
    <t>SHINEFAR 550Wp</t>
  </si>
  <si>
    <t>RESUN 550Wp</t>
  </si>
  <si>
    <t>TRINA 540Wp</t>
  </si>
  <si>
    <t>exclusão das colunas A e B e congelamento da nova coluna A da aba "Módulos"</t>
  </si>
  <si>
    <t>Vmp &gt; Voc?</t>
  </si>
  <si>
    <t>Imp &gt; Isc?</t>
  </si>
  <si>
    <t>inclusão das comparações de Vmp e Voc, Imp e Isc, para detectar possíveis erros de preenchimento</t>
  </si>
  <si>
    <t>DAH 550Wp</t>
  </si>
  <si>
    <t>Coef. Tensão negativo?</t>
  </si>
  <si>
    <t>Coef. Corrente positivo?</t>
  </si>
  <si>
    <t>Coef. Potência negativo?</t>
  </si>
  <si>
    <t>inclusão da verificação do sinal dos coeficientes de tensão, potência e corrente, para detectar possíveis erros de preenchimento</t>
  </si>
  <si>
    <t>v5.4.2</t>
  </si>
  <si>
    <t>senha: 542 (novas senhas serão a versão da planilha)</t>
  </si>
  <si>
    <t>v5.4.3</t>
  </si>
  <si>
    <t>correção da data da versão da 5.4.2</t>
  </si>
  <si>
    <t>inclusão do módulo SHINEFAR 450Wp</t>
  </si>
  <si>
    <t>inclusão do módulo RESUN 550Wp</t>
  </si>
  <si>
    <t>correção do texto "inclusão do módulos RESUN 550Wp" para "inclusão do módulo RESUN 550Wp"</t>
  </si>
  <si>
    <t>inclusão do módulo SHINEFAR 465Wp</t>
  </si>
  <si>
    <t>inclusão do módulo OSDA 550Wp</t>
  </si>
  <si>
    <t>remoção do módulo HELIUS 380Wp</t>
  </si>
  <si>
    <t>remoção do módulo DAH 445Wp</t>
  </si>
  <si>
    <t>remoção do módulo OSDA 390Wp</t>
  </si>
  <si>
    <t>SHINEFAR 450Wp</t>
  </si>
  <si>
    <t>SHINEFAR 465Wp</t>
  </si>
  <si>
    <t>OSDA 550Wp</t>
  </si>
  <si>
    <t>alteração dos valores de Isc e Voc do módulo OSDA 545Wp (+3% em cada, pior caso do datasheet)</t>
  </si>
  <si>
    <t>remoção do módulo SUNERGY 440Wp</t>
  </si>
  <si>
    <t>remoção dos módulos LUXEN (todos)</t>
  </si>
  <si>
    <t>v5.4.4</t>
  </si>
  <si>
    <t>adição da linha "Máximo de módulos por MPPT" (A59)</t>
  </si>
  <si>
    <t>Máximo de módulos por MPPT (pela potência kWp)</t>
  </si>
  <si>
    <t>SUN-35K-G04</t>
  </si>
  <si>
    <t>SUN-50K-G-LV</t>
  </si>
  <si>
    <t>SUN-25K-G04</t>
  </si>
  <si>
    <t>atualização dos inversores SUN-3K-G, SUN-5K-G e SUN-8K-G (tensões CC a até 550Vcc)</t>
  </si>
  <si>
    <t>atualização do inversor SUN-12K-G02-LV (potência kWp máxima a até 15,6kWp)</t>
  </si>
  <si>
    <t>atualização do inversor SUN-50K-G02-LV (renomeado para SUN-50K-G-LV, potência kWp máxima a até 65kWp, corrente máxima a até 40A, corrente de curto máxima a até 60A)</t>
  </si>
  <si>
    <t>atualização do inversor SUN-15K-G02-LV (potência kWh máxima a até 19,5kWp)</t>
  </si>
  <si>
    <t>atualização do inversor SUN-25K-G (renomeado para SUN-25K-G04)</t>
  </si>
  <si>
    <t>atualização do inversor SUN-35K-G (renomeado para SUN-35K-G04)</t>
  </si>
  <si>
    <t>invesores híbridos renomeados com HÍBRIDO no final</t>
  </si>
  <si>
    <t>v6.0.0</t>
  </si>
  <si>
    <t>SUN-40K-G-LV</t>
  </si>
  <si>
    <t>SUN-8K-SG01LP1-US</t>
  </si>
  <si>
    <t>SUN-8K-SG01LP1-EU</t>
  </si>
  <si>
    <t>SUN-3.6K-SG03LP1-EU</t>
  </si>
  <si>
    <t>SUN-5K-SG03LP1-EU</t>
  </si>
  <si>
    <t>remoção da observação de inversor editável</t>
  </si>
  <si>
    <t>registro INMETRO do inversor</t>
  </si>
  <si>
    <t>registro INMETRO</t>
  </si>
  <si>
    <t>007492/2019</t>
  </si>
  <si>
    <t>005635/2021</t>
  </si>
  <si>
    <t>001452/2020</t>
  </si>
  <si>
    <t>000300/2020</t>
  </si>
  <si>
    <t>001992/2021</t>
  </si>
  <si>
    <t>006338/2020</t>
  </si>
  <si>
    <t>003228/2021</t>
  </si>
  <si>
    <t>SUN-100K-G03</t>
  </si>
  <si>
    <t>005461/2020</t>
  </si>
  <si>
    <t>SUN-50K-G03</t>
  </si>
  <si>
    <t>arquivo</t>
  </si>
  <si>
    <t>007490/2019</t>
  </si>
  <si>
    <t>002092/2021</t>
  </si>
  <si>
    <t>001194/2021</t>
  </si>
  <si>
    <t>005958/2021</t>
  </si>
  <si>
    <t>005752/2021</t>
  </si>
  <si>
    <t>005693/2021</t>
  </si>
  <si>
    <t>aumento do range do PROCV das informações dos inversores (de 24 a 57)</t>
  </si>
  <si>
    <t>registro INMETRO do módulo</t>
  </si>
  <si>
    <t>modelo</t>
  </si>
  <si>
    <t>ARQUIVO</t>
  </si>
  <si>
    <t>SHINEFAR 665Wp</t>
  </si>
  <si>
    <t>008258/2021</t>
  </si>
  <si>
    <t>005692/2021</t>
  </si>
  <si>
    <t>inclusão SHINEFAR 665Wp e HONOR 550Wp</t>
  </si>
  <si>
    <t>criação de arquivo com módulos antigos</t>
  </si>
  <si>
    <t>remoção da possibilidade de módulo editável e remanejamento dos módulos selecionáveis</t>
  </si>
  <si>
    <t>remoção da possibilidade de inversor editável e remanejamento dos inversores selecionáveis</t>
  </si>
  <si>
    <t>inclusão do registro INMETRO do módulo selecionado (na aba módulos e visualmente na aba dimensionamento mendiante PROC)</t>
  </si>
  <si>
    <t>inclusão do registro INMETRO do inversor selecionado (na aba inversores e visualmente na aba dimensionamento mediante PROC)</t>
  </si>
  <si>
    <t>Isc original: 18,58</t>
  </si>
  <si>
    <t>**</t>
  </si>
  <si>
    <t>Isc do SHINEFAR 665 setado em 19,5 para vedar uso com inversores com mppt de 1 string</t>
  </si>
  <si>
    <t>INVERSOR DEYE</t>
  </si>
  <si>
    <t>ATENÇÃO!</t>
  </si>
  <si>
    <t>http://www.cresesb.cepel.br/index.php?section=sundata&amp;</t>
  </si>
  <si>
    <t>caso haja asterisco: inversor comporta mais strings, porém geralmente não é necessário</t>
  </si>
  <si>
    <t>String Box necessária para inversor nesta configuração</t>
  </si>
  <si>
    <t>criação das observações 1 e 2 abaixo dos resultados do cálculo de inversores</t>
  </si>
  <si>
    <t>criação do quadro de atenção</t>
  </si>
  <si>
    <t>SUN-20K-G04</t>
  </si>
  <si>
    <t>A corrente máxima do conector dos inversores é de 30A. Caso a corrente de saída da string box seja superior</t>
  </si>
  <si>
    <t>a 30A, fazer a divisão da saída da string box em mais vias de cabo e ingressar em mais entradas do inversor.</t>
  </si>
  <si>
    <t>ESTA PLANILHA, BEM COMO OS PARÂMETROS TÉCNICOS DOS INVERSORES, PODE SER ATUALIZADA SEM AVISO A QUALQUER MOMENTO.</t>
  </si>
  <si>
    <r>
      <t xml:space="preserve">ESTA É UMA PLANILHA DISPONIBILIZADA PELA </t>
    </r>
    <r>
      <rPr>
        <b/>
        <sz val="11"/>
        <color theme="0"/>
        <rFont val="Calibri"/>
        <family val="2"/>
        <scheme val="minor"/>
      </rPr>
      <t>ALUMIFIX SOLAR</t>
    </r>
    <r>
      <rPr>
        <sz val="11"/>
        <color theme="0"/>
        <rFont val="Calibri"/>
        <family val="2"/>
        <scheme val="minor"/>
      </rPr>
      <t xml:space="preserve"> PARA AUXILIAR SEUS INTEGRADORES A DIMENSIONAR INVERSORES DENTRO DE SUAS LIMITAÇÕES TÉCNICAS. </t>
    </r>
    <r>
      <rPr>
        <b/>
        <sz val="11"/>
        <color theme="0"/>
        <rFont val="Calibri"/>
        <family val="2"/>
        <scheme val="minor"/>
      </rPr>
      <t>ESTA PLANILHA NÃO SUBSTITUI A ANÁLISE TÉCNICA DE PROFISSIONAL QUALIFICADO</t>
    </r>
    <r>
      <rPr>
        <sz val="11"/>
        <color theme="0"/>
        <rFont val="Calibri"/>
        <family val="2"/>
        <scheme val="minor"/>
      </rPr>
      <t>, SENDO UMA MERA FERRAMENTA DE AUXÍLIO A TAIS PROFISSIONAIS.</t>
    </r>
  </si>
  <si>
    <t>INSTALADOS NAS MESMAS CONDIÇÕES (INCLINAÇÃO, DESVIO AZIMUTAL ETC.)</t>
  </si>
  <si>
    <t>criação do aviso de módulos nas mesmas condições</t>
  </si>
  <si>
    <t>ocultamento da aproximação de tensão máxima</t>
  </si>
  <si>
    <t>ESTA PLANILHA PODE CONTER MÓDULOS E INVERSORES QUE JÁ NÃO ESTÃO MAIS DISPONÍVEIS PARA COMPRA. SEMPRE CONSULTAR O SETOR COMERCIAL PARA QUESTÕES REFERENTES A PRODUTOS DISPONÍVEIS.</t>
  </si>
  <si>
    <t>Eng. João Paulo Jakobi</t>
  </si>
  <si>
    <t>Suporte Técnico Alumifix Solar</t>
  </si>
  <si>
    <t xml:space="preserve"> Tipo de conexão à rede</t>
  </si>
  <si>
    <t>incluído tipo de conexão à rede dos inversores e também o PROC para visualizar na aba DIMENSIONAMENTO</t>
  </si>
  <si>
    <t>tipo de conexão à rede</t>
  </si>
  <si>
    <t>Monofásico 220V</t>
  </si>
  <si>
    <t>Trifásico 380V</t>
  </si>
  <si>
    <t>Trifásico 220V</t>
  </si>
  <si>
    <t>String Box da Alumifix pré-recomendada para este inversor</t>
  </si>
  <si>
    <t>corrigido bug da quantidade de saídas da string box (somava até 4 MPPT, agora soma até 6)</t>
  </si>
  <si>
    <t>em testes para liberar para uso externo</t>
  </si>
  <si>
    <t>corrigido texto "string box da alumifix recomendada..."</t>
  </si>
  <si>
    <t>inserido tensão de conexão dos inversores</t>
  </si>
  <si>
    <t>v6.1.0</t>
  </si>
  <si>
    <t>Obs.1: caso qualquer item conste "ACIMA" ou  "ERRO" ou "+MOD", é vedada a configuração testada</t>
  </si>
  <si>
    <t>006052/2022</t>
  </si>
  <si>
    <t>v6.2.0</t>
  </si>
  <si>
    <t>inclusão ASTRO 555Wp</t>
  </si>
  <si>
    <t>inclusão OSDA 575Wp</t>
  </si>
  <si>
    <t>v6.3.0</t>
  </si>
  <si>
    <t>inclusão das dimensões e peso dos módulos</t>
  </si>
  <si>
    <t>inclusão dos modelos dos módulos</t>
  </si>
  <si>
    <t>(observar a necessidade de fusível e a correta necessidade de montagem da string box)</t>
  </si>
  <si>
    <t>D86 mudado para: "(observar a necessidade de fusível e a correta necessidade de montagem da string box)"</t>
  </si>
  <si>
    <t>(sugestão para um padrão de conexões pré-determinado)</t>
  </si>
  <si>
    <t>D87 mudado para: "(sugestão para um padrão de conexões pré-determinado)"</t>
  </si>
  <si>
    <t>Módulos organizados por potência</t>
  </si>
  <si>
    <t>Remoção do SUNOVA 550Wp</t>
  </si>
  <si>
    <t>Renomeamento dos módulos para o formato: "POTÊNCIA – MARCA"</t>
  </si>
  <si>
    <t>Remoção do OSDA 550Wp</t>
  </si>
  <si>
    <t>Remoção do SHINEFAR 450Wp</t>
  </si>
  <si>
    <t>Remoção do SHINEFAR 465Wp</t>
  </si>
  <si>
    <t>Remoção do SHINEFAR 665Wp</t>
  </si>
  <si>
    <t>Remoção do SHINEFAR 550Wp</t>
  </si>
  <si>
    <t>dimensões</t>
  </si>
  <si>
    <t>peso</t>
  </si>
  <si>
    <t>28,4 kg</t>
  </si>
  <si>
    <t>ODA575-36V-MH</t>
  </si>
  <si>
    <t>HY-M10/144H-550W</t>
  </si>
  <si>
    <t xml:space="preserve">CHSM72M-HC-555	</t>
  </si>
  <si>
    <t>29,4 kg</t>
  </si>
  <si>
    <t>2279 x 1134 x 35 mm</t>
  </si>
  <si>
    <t>26,6 kg</t>
  </si>
  <si>
    <t>550Wp – HONOR</t>
  </si>
  <si>
    <t>555Wp – ASTRO</t>
  </si>
  <si>
    <t>575Wp – OSDA</t>
  </si>
  <si>
    <t>*para mais informações consulte o datasheet</t>
  </si>
  <si>
    <t>D22 inclusão de: "*para mais informações consulte o datasheet"</t>
  </si>
  <si>
    <t>555Wp – JINERGY</t>
  </si>
  <si>
    <t>inclusão JINERGY 555Wp</t>
  </si>
  <si>
    <t>28 kg</t>
  </si>
  <si>
    <t>****</t>
  </si>
  <si>
    <t>****considerados +3% em Voc e Isc conforme datasheet</t>
  </si>
  <si>
    <t>inclusão OSDA 665Wp</t>
  </si>
  <si>
    <t>665Wp – OSDA</t>
  </si>
  <si>
    <t>ODA665-33V-MH</t>
  </si>
  <si>
    <t>2384 x 1303 x 35 mm</t>
  </si>
  <si>
    <t>2278 x 1134 x 30 mm</t>
  </si>
  <si>
    <t>2278 x 1134 x 35 mm</t>
  </si>
  <si>
    <t>33,9 kg</t>
  </si>
  <si>
    <t>Remoção do HONOR 550Wp</t>
  </si>
  <si>
    <t>008912/2022</t>
  </si>
  <si>
    <t>JNMM144-555</t>
  </si>
  <si>
    <t>82 a 88 ocultados</t>
  </si>
  <si>
    <t>Quantidade de MPPTs</t>
  </si>
  <si>
    <t>Corrente de entrada CC (para cada MPPT) [A]</t>
  </si>
  <si>
    <t>Corrente de curto-circuito CC (para cada MPPT) [A]</t>
  </si>
  <si>
    <t>A15 mudado para: "Quantidade de strings máximo (para cada MPPT)"</t>
  </si>
  <si>
    <t>A14 mudado para "Quantidade de MPPTs"</t>
  </si>
  <si>
    <t>A16 mudado para: "Corrente de entrada CC (para cada MPPT) [A]"</t>
  </si>
  <si>
    <t>A17 mudado para: "Corrente de curto-circuito CC (para cada MPPT) [A]"</t>
  </si>
  <si>
    <t>Número máximo de módulos para o inversor (pelo kWp máximo)</t>
  </si>
  <si>
    <t>colunas alargadas para 76px, coluna A com 450px</t>
  </si>
  <si>
    <t>A56 mudado para: "Número máximo de módulos para o inversor (pelo kWp máximo)"</t>
  </si>
  <si>
    <t>CC/CA</t>
  </si>
  <si>
    <t>K61 mudado para: "CC/CA"</t>
  </si>
  <si>
    <t>CC/CA máximo</t>
  </si>
  <si>
    <t>L61 mudado para: "CC/CA máximo"</t>
  </si>
  <si>
    <t>K63 mudado para: "=SE(B86&gt;B85;"RELAÇÃO CC/CA ACIMA DA RECOMENDAÇÃO DO FABRICANTE";"RELAÇÃO CC/CA DENTRO DO PERMITIDO")"</t>
  </si>
  <si>
    <t>preencher as strings SEMPRE em ordem (primeiro string 1, depois 2, depois 3...)</t>
  </si>
  <si>
    <t>B57 mudado para: "preencher as strings SEMPRE em ordem (primeiro string 1, depois 2, depois 3...)"</t>
  </si>
  <si>
    <t>Verificação da quantidade de strings por MPPT</t>
  </si>
  <si>
    <t>A63 mudado para: "Verificação da quantidade de strings por MPPT"</t>
  </si>
  <si>
    <t>Verificação se a quantidade de módulos é igual nas strings</t>
  </si>
  <si>
    <t>A64 mudado para: "Verificação se a quantidade de módulos é igual nas strings"</t>
  </si>
  <si>
    <t>A65 mudado para: "Quantidade total de módulos no MPPT"</t>
  </si>
  <si>
    <t>Quantidade total de módulos no MPPT</t>
  </si>
  <si>
    <t>Tensão Voc da string [V em Tmin]</t>
  </si>
  <si>
    <t>A74 mudado para: "Tensão Voc da string [V em Tmin]"</t>
  </si>
  <si>
    <t>A ALUMIFIX SOLAR RECOMENDA CRITÉRIO NA AVALIAÇÃO DAS CONDIÇÕES DE</t>
  </si>
  <si>
    <t>IRRADIAÇÃO DO LOCAL DA INSTALAÇÃO, POIS EM CERTOS MOMENTOS PODE SER</t>
  </si>
  <si>
    <r>
      <t xml:space="preserve">OS MÓDULOS </t>
    </r>
    <r>
      <rPr>
        <b/>
        <sz val="11"/>
        <color theme="1"/>
        <rFont val="Calibri"/>
        <family val="2"/>
        <scheme val="minor"/>
      </rPr>
      <t>DE UM MESMO MPPT</t>
    </r>
    <r>
      <rPr>
        <sz val="11"/>
        <color theme="1"/>
        <rFont val="Calibri"/>
        <family val="2"/>
        <scheme val="minor"/>
      </rPr>
      <t xml:space="preserve"> DEVEM OBRIGATORIAMENTE SER</t>
    </r>
  </si>
  <si>
    <t>POR REFERÊNCIA PARA A REALIZAÇÃO DOS CÁLCULOS E CONSEQUENTEMENTE SUPERAR</t>
  </si>
  <si>
    <r>
      <t xml:space="preserve">PARA TODOS OS CÁLCULOS TOMOU-SE POR BASE AS CONDIÇÕES </t>
    </r>
    <r>
      <rPr>
        <b/>
        <sz val="11"/>
        <color theme="1"/>
        <rFont val="Calibri"/>
        <family val="2"/>
        <scheme val="minor"/>
      </rPr>
      <t>STC</t>
    </r>
    <r>
      <rPr>
        <sz val="11"/>
        <color theme="1"/>
        <rFont val="Calibri"/>
        <family val="2"/>
        <scheme val="minor"/>
      </rPr>
      <t>.</t>
    </r>
  </si>
  <si>
    <r>
      <t xml:space="preserve">SUPERIOR ÀS CONDIÇÕES </t>
    </r>
    <r>
      <rPr>
        <b/>
        <sz val="11"/>
        <color theme="1"/>
        <rFont val="Calibri"/>
        <family val="2"/>
        <scheme val="minor"/>
      </rPr>
      <t>STC</t>
    </r>
    <r>
      <rPr>
        <sz val="11"/>
        <color theme="1"/>
        <rFont val="Calibri"/>
        <family val="2"/>
        <scheme val="minor"/>
      </rPr>
      <t>, DE FORMA A SUPERAR OS VALORES TOMADOS</t>
    </r>
  </si>
  <si>
    <t>Inserção do segundo alerta em I69~78</t>
  </si>
  <si>
    <t>GERAÇÃO ESTIMADA</t>
  </si>
  <si>
    <t>fonte de dados de irradiação:</t>
  </si>
  <si>
    <t>Inserção de observação em A99 e B99</t>
  </si>
  <si>
    <t>Horas de sol pleno [h]</t>
  </si>
  <si>
    <t>A100 mudado para: "Horas de sol pleno [h]"</t>
  </si>
  <si>
    <t>Esta é uma simples calculadora de geração por kWp. Não são levados em conta clipping ou outros efeitos. Para uma estimativa mais completa, deve-se usar softwares especializados.</t>
  </si>
  <si>
    <t>580Wp – OSDA (BF)</t>
  </si>
  <si>
    <t>ODA580-36V-MHD</t>
  </si>
  <si>
    <t>32,2 kg</t>
  </si>
  <si>
    <t>011347/2022</t>
  </si>
  <si>
    <t>v6.3.1</t>
  </si>
  <si>
    <t>Potência máxima kWp do inversor de 3kW alterada para 3,9kWp</t>
  </si>
  <si>
    <t>Correntes do 20kW-LV alteradas para 40 e 60A</t>
  </si>
  <si>
    <t>Alerta de módulo bifacial em D20</t>
  </si>
  <si>
    <t>Alerta de número máximo de módulos para o inversor em I63</t>
  </si>
  <si>
    <t>OS LIMITES DE SUPORTABILIDADE DOS EQUIPAMENTOS, BEM COMO INCREMENTOS DE MÓDULOS</t>
  </si>
  <si>
    <t>BIFACIAIS, QUE NÃO SÃO CALCULADOS PELA PLANILHA. REITERA-SE QUE A VALIDAÇÃO E</t>
  </si>
  <si>
    <t>SUN-6K-G (mono)</t>
  </si>
  <si>
    <t>005957/2021</t>
  </si>
  <si>
    <t>v6.3.2</t>
  </si>
  <si>
    <t>Inserção do inversor SUN-6K-G</t>
  </si>
  <si>
    <t>inclusão HANERSUN 555Wp</t>
  </si>
  <si>
    <t>555Wp – HANERSUN</t>
  </si>
  <si>
    <t>CP18-72H555W</t>
  </si>
  <si>
    <t>28,5 kg</t>
  </si>
  <si>
    <t>011999/2022</t>
  </si>
  <si>
    <t>Reinserção do inversor SUN-18K-G03</t>
  </si>
  <si>
    <t>SUN-35K-G04 corrigido para 2x MPPT; INMETRO atualizado</t>
  </si>
  <si>
    <t>005753/2021</t>
  </si>
  <si>
    <t>575Wp – HONOR</t>
  </si>
  <si>
    <t>HY-M10/144H-575W</t>
  </si>
  <si>
    <t>26,9 kg</t>
  </si>
  <si>
    <t>012863/2022</t>
  </si>
  <si>
    <t>inclusão HONOR 575Wp</t>
  </si>
  <si>
    <t>remoção OSDA 580Wp BF</t>
  </si>
  <si>
    <t>reinserção ASTRO 555Wp</t>
  </si>
  <si>
    <t>AVALIAÇÃO DOS RESULTADOS DEVE SER REALIZADA POR PROFISSIONAL QUALIFICADO.</t>
  </si>
  <si>
    <t>Inserção do inversor SUN-3.6K-G</t>
  </si>
  <si>
    <t>Inserção do inversor SUN-9K-G</t>
  </si>
  <si>
    <t>Inserção do inversor SUN-10.5K-G</t>
  </si>
  <si>
    <t>Inserção do inversor SUN-45K-G03</t>
  </si>
  <si>
    <t>Alteração do inversor SUN-40K-G para SUN-40K-G03</t>
  </si>
  <si>
    <t>Alteração do inversor SUN-75K-G03 para 4x MPPT</t>
  </si>
  <si>
    <t>Inserção do inversor SUN-90K-G03</t>
  </si>
  <si>
    <t>Inserção do inversor SUN-110K-G03</t>
  </si>
  <si>
    <t>SUN-3.6K-G (mono)</t>
  </si>
  <si>
    <t>SUN-4K-G (mono)</t>
  </si>
  <si>
    <t>Inserção do inversor SUN-4K-G</t>
  </si>
  <si>
    <t>SUN-7K-G (mono)</t>
  </si>
  <si>
    <t>SUN-7.5K-G (mono)</t>
  </si>
  <si>
    <t>SUN-9K-G (mono)</t>
  </si>
  <si>
    <t>SUN-10.5K-G (mono)</t>
  </si>
  <si>
    <t>Inserção do inversor SUN-7K-G</t>
  </si>
  <si>
    <t>Inserção do inversor SUN-7.5K-G</t>
  </si>
  <si>
    <t>005637/2021</t>
  </si>
  <si>
    <t>005633/2021</t>
  </si>
  <si>
    <t>005634/2021</t>
  </si>
  <si>
    <t>005700/2021</t>
  </si>
  <si>
    <t>v6.4.0</t>
  </si>
  <si>
    <t>SUN-40K-G03</t>
  </si>
  <si>
    <t>SUN-60K-G03</t>
  </si>
  <si>
    <t>Alteração do inversor SUN-60K-G para SUN-60K-G03</t>
  </si>
  <si>
    <t>SUN-18K-G04</t>
  </si>
  <si>
    <t>Alteração do inversor SUN-18K-G03 para SUN-18K-G04</t>
  </si>
  <si>
    <t>Atualização dos parâmetros do inversor SUN-20K-G04</t>
  </si>
  <si>
    <t>SUN-45K-G03</t>
  </si>
  <si>
    <t>SUN-75K-G05</t>
  </si>
  <si>
    <t>SUN-110K-G03</t>
  </si>
  <si>
    <t>Bifásico 127/220V</t>
  </si>
  <si>
    <t>SUN-5K-SG01LP1-US</t>
  </si>
  <si>
    <t>SUN-90K-G03</t>
  </si>
  <si>
    <t>550Wp - BYD</t>
  </si>
  <si>
    <t>560Wp – OSDA</t>
  </si>
  <si>
    <t>665Wp – HANERSUN</t>
  </si>
  <si>
    <t>ODA560-36V-MH</t>
  </si>
  <si>
    <t>BYD550MLK-36</t>
  </si>
  <si>
    <t>29,3 kg</t>
  </si>
  <si>
    <t>007001/2023</t>
  </si>
  <si>
    <t>HN21-66H665W</t>
  </si>
  <si>
    <t>005867/2023</t>
  </si>
  <si>
    <t>34,4 kg</t>
  </si>
  <si>
    <t>Inserão dos módulos BYD 550Wp, OSDA 560Wp, Hanersun 665Wp</t>
  </si>
  <si>
    <t>Remoção do módulo Astro 555Wp</t>
  </si>
  <si>
    <t>bifacial? (1 se SIM, 2 se NÃO)</t>
  </si>
  <si>
    <t>Incluído SIM ou NÃO para "módulo bifacial" na aba "módulos", se sim ativar o alerta de D20, se não, ""</t>
  </si>
  <si>
    <t>A ALUMIFIX SOLAR NÃO SE RESPONSABILIZA POR EVENTUAIS DIVERGÊNCIAS DE CÁLCULO OU INFORMAÇÕES CONTIDAS NA PLANILHA, SENDO OBRIGATÓRIA A REVISÃO DOS RESULTADOS E INFORMAÇÕES POR PROFISSIONAL QUALIFICADO.</t>
  </si>
  <si>
    <t>"INFORMAÇÃO CONTIDA" para "INFORMAÇÕES CONTIDAS" em E~L 15~17</t>
  </si>
  <si>
    <t>003461/2022</t>
  </si>
  <si>
    <t>Adicionado {=SEERRO("";} na fórmula D20 para ocultar o ND quando não há nada selecionado</t>
  </si>
  <si>
    <t>Adicionado SUN-75K-G03 com 6 MPPT</t>
  </si>
  <si>
    <t>SUN-75K-G03 renomeado para "SUN-75K-G03 (4 MPPT)"</t>
  </si>
  <si>
    <t>v6.4.1</t>
  </si>
  <si>
    <t>SUN-75K-G03 (4 MPPT)</t>
  </si>
  <si>
    <t>SUN-75K-G03 (6 MPPT)</t>
  </si>
  <si>
    <t>A15 mudado para: "Quantidade de conexões (entradas) em cada MPPT"</t>
  </si>
  <si>
    <t>Quantidade de conexões (entradas) em cada MPPT</t>
  </si>
  <si>
    <t>v6.4.2 (USO EXTERNO)</t>
  </si>
  <si>
    <t>1E/1S(1 MPPT)-1000V</t>
  </si>
  <si>
    <t>2E/2S(2 MPPT)-1000V</t>
  </si>
  <si>
    <t>4E/4S(2 MPPT)-1000V</t>
  </si>
  <si>
    <t>6E/6S(2 MPPT)-1000V</t>
  </si>
  <si>
    <t>9E/9S(3 MPPT)-1000V</t>
  </si>
  <si>
    <t>12E/12S(4 MPPT)-1000V</t>
  </si>
  <si>
    <t>12E/12S(4 MPPT)-1000V*</t>
  </si>
  <si>
    <t>18E/18S(6 MPPT)-1000V*</t>
  </si>
  <si>
    <t>6E/6S(3 MPPT)-1000V*</t>
  </si>
  <si>
    <t>8E/8S(4 MPPT)-1000V*</t>
  </si>
  <si>
    <t>v6.4.2</t>
  </si>
  <si>
    <t>corrigido bug em que não puxava toda a lista de módulos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</si>
</sst>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rgb="FF000000"/>
      <name val="Calibri"/>
      <family val="2"/>
      <charset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1"/>
      <color rgb="FF000000"/>
      <name val="Century Gothic"/>
      <family val="2"/>
    </font>
    <font>
      <b/>
      <sz val="11"/>
      <color theme="0"/>
      <name val="Century Gothic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right" indent="1"/>
    </xf>
    <xf numFmtId="0" fontId="0" fillId="0" borderId="1" xfId="0" applyBorder="1" applyAlignment="1">
      <alignment horizontal="right" inden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left"/>
    </xf>
    <xf numFmtId="0" fontId="0" fillId="3" borderId="0" xfId="0" applyFill="1" applyAlignment="1">
      <alignment horizontal="center"/>
    </xf>
    <xf numFmtId="0" fontId="0" fillId="2" borderId="0" xfId="0" applyFill="1" applyAlignment="1" applyProtection="1">
      <alignment horizontal="left" inden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>
      <alignment horizontal="left" indent="3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left" indent="1"/>
    </xf>
    <xf numFmtId="0" fontId="5" fillId="0" borderId="1" xfId="0" applyFont="1" applyBorder="1" applyAlignment="1">
      <alignment horizontal="right" indent="1"/>
    </xf>
    <xf numFmtId="0" fontId="1" fillId="0" borderId="0" xfId="0" applyFont="1"/>
    <xf numFmtId="0" fontId="3" fillId="0" borderId="0" xfId="0" applyFont="1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left" indent="1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left" indent="1"/>
    </xf>
    <xf numFmtId="0" fontId="0" fillId="0" borderId="4" xfId="0" applyBorder="1" applyAlignment="1">
      <alignment horizontal="left"/>
    </xf>
    <xf numFmtId="2" fontId="0" fillId="0" borderId="4" xfId="0" applyNumberFormat="1" applyBorder="1" applyAlignment="1">
      <alignment horizontal="left"/>
    </xf>
    <xf numFmtId="0" fontId="0" fillId="0" borderId="2" xfId="0" applyBorder="1" applyAlignment="1">
      <alignment horizontal="right" indent="1"/>
    </xf>
    <xf numFmtId="2" fontId="0" fillId="0" borderId="4" xfId="0" applyNumberFormat="1" applyBorder="1" applyAlignment="1">
      <alignment horizontal="left" indent="1"/>
    </xf>
    <xf numFmtId="0" fontId="3" fillId="0" borderId="4" xfId="0" applyFont="1" applyBorder="1"/>
    <xf numFmtId="1" fontId="1" fillId="0" borderId="0" xfId="0" applyNumberFormat="1" applyFont="1" applyAlignment="1">
      <alignment horizontal="left" indent="1"/>
    </xf>
    <xf numFmtId="1" fontId="3" fillId="0" borderId="0" xfId="0" applyNumberFormat="1" applyFont="1" applyAlignment="1">
      <alignment horizontal="left" indent="1"/>
    </xf>
    <xf numFmtId="2" fontId="1" fillId="0" borderId="0" xfId="0" applyNumberFormat="1" applyFont="1" applyAlignment="1">
      <alignment horizontal="left" inden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2" fillId="0" borderId="0" xfId="0" applyFont="1"/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9" fontId="0" fillId="0" borderId="0" xfId="0" applyNumberFormat="1" applyAlignment="1">
      <alignment horizontal="left" indent="1"/>
    </xf>
    <xf numFmtId="0" fontId="3" fillId="0" borderId="1" xfId="0" applyFont="1" applyBorder="1" applyAlignment="1">
      <alignment horizontal="right" indent="1"/>
    </xf>
    <xf numFmtId="0" fontId="3" fillId="0" borderId="0" xfId="0" applyFont="1" applyAlignment="1">
      <alignment horizontal="right"/>
    </xf>
    <xf numFmtId="0" fontId="0" fillId="3" borderId="0" xfId="0" applyFill="1"/>
    <xf numFmtId="0" fontId="0" fillId="3" borderId="4" xfId="0" applyFill="1" applyBorder="1"/>
    <xf numFmtId="0" fontId="3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4" xfId="0" applyFill="1" applyBorder="1" applyAlignment="1">
      <alignment horizontal="left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 inden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right" indent="1"/>
    </xf>
    <xf numFmtId="9" fontId="1" fillId="0" borderId="0" xfId="0" applyNumberFormat="1" applyFont="1" applyAlignment="1">
      <alignment horizontal="left" indent="1"/>
    </xf>
    <xf numFmtId="0" fontId="2" fillId="4" borderId="0" xfId="0" applyFont="1" applyFill="1" applyAlignment="1">
      <alignment horizontal="right"/>
    </xf>
    <xf numFmtId="0" fontId="7" fillId="0" borderId="0" xfId="0" applyFont="1" applyAlignment="1">
      <alignment vertical="center"/>
    </xf>
    <xf numFmtId="0" fontId="0" fillId="4" borderId="0" xfId="0" applyFill="1" applyAlignment="1">
      <alignment horizontal="right"/>
    </xf>
    <xf numFmtId="0" fontId="0" fillId="4" borderId="0" xfId="0" applyFill="1"/>
    <xf numFmtId="0" fontId="0" fillId="7" borderId="0" xfId="0" applyFill="1"/>
    <xf numFmtId="0" fontId="0" fillId="3" borderId="1" xfId="0" applyFill="1" applyBorder="1" applyAlignment="1">
      <alignment horizontal="right" indent="1"/>
    </xf>
    <xf numFmtId="0" fontId="0" fillId="3" borderId="0" xfId="0" applyFill="1" applyAlignment="1">
      <alignment horizontal="right"/>
    </xf>
    <xf numFmtId="2" fontId="0" fillId="3" borderId="0" xfId="0" applyNumberFormat="1" applyFill="1" applyAlignment="1">
      <alignment horizontal="left" indent="1"/>
    </xf>
    <xf numFmtId="164" fontId="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8" fillId="0" borderId="0" xfId="0" applyFont="1" applyAlignment="1">
      <alignment horizontal="center"/>
    </xf>
    <xf numFmtId="9" fontId="8" fillId="0" borderId="0" xfId="0" applyNumberFormat="1" applyFont="1" applyAlignment="1">
      <alignment horizontal="center"/>
    </xf>
    <xf numFmtId="0" fontId="0" fillId="8" borderId="0" xfId="0" applyFill="1"/>
    <xf numFmtId="0" fontId="0" fillId="8" borderId="8" xfId="0" applyFill="1" applyBorder="1" applyAlignment="1">
      <alignment horizontal="center"/>
    </xf>
    <xf numFmtId="14" fontId="0" fillId="8" borderId="8" xfId="0" applyNumberFormat="1" applyFill="1" applyBorder="1" applyAlignment="1">
      <alignment horizontal="center"/>
    </xf>
    <xf numFmtId="0" fontId="9" fillId="9" borderId="0" xfId="0" applyFont="1" applyFill="1"/>
    <xf numFmtId="0" fontId="0" fillId="8" borderId="0" xfId="0" applyFill="1" applyAlignment="1">
      <alignment horizontal="left" indent="1"/>
    </xf>
    <xf numFmtId="0" fontId="0" fillId="8" borderId="10" xfId="0" applyFill="1" applyBorder="1" applyAlignment="1">
      <alignment horizontal="center"/>
    </xf>
    <xf numFmtId="0" fontId="0" fillId="8" borderId="4" xfId="0" applyFill="1" applyBorder="1" applyAlignment="1">
      <alignment horizontal="left" indent="1"/>
    </xf>
    <xf numFmtId="0" fontId="0" fillId="8" borderId="4" xfId="0" applyFill="1" applyBorder="1"/>
    <xf numFmtId="0" fontId="0" fillId="8" borderId="13" xfId="0" applyFill="1" applyBorder="1" applyAlignment="1">
      <alignment horizontal="center"/>
    </xf>
    <xf numFmtId="0" fontId="0" fillId="8" borderId="12" xfId="0" applyFill="1" applyBorder="1" applyAlignment="1">
      <alignment horizontal="left" indent="1"/>
    </xf>
    <xf numFmtId="0" fontId="0" fillId="8" borderId="12" xfId="0" applyFill="1" applyBorder="1"/>
    <xf numFmtId="0" fontId="0" fillId="8" borderId="16" xfId="0" applyFill="1" applyBorder="1" applyAlignment="1">
      <alignment horizontal="center"/>
    </xf>
    <xf numFmtId="0" fontId="0" fillId="8" borderId="15" xfId="0" applyFill="1" applyBorder="1" applyAlignment="1">
      <alignment horizontal="left" indent="1"/>
    </xf>
    <xf numFmtId="0" fontId="0" fillId="8" borderId="15" xfId="0" applyFill="1" applyBorder="1"/>
    <xf numFmtId="0" fontId="10" fillId="8" borderId="1" xfId="0" applyFont="1" applyFill="1" applyBorder="1" applyAlignment="1">
      <alignment horizontal="left" vertical="center" indent="3"/>
    </xf>
    <xf numFmtId="14" fontId="10" fillId="0" borderId="1" xfId="0" applyNumberFormat="1" applyFont="1" applyBorder="1" applyAlignment="1">
      <alignment horizontal="left" vertical="center" indent="3"/>
    </xf>
    <xf numFmtId="0" fontId="1" fillId="0" borderId="1" xfId="0" applyFont="1" applyBorder="1" applyAlignment="1">
      <alignment horizontal="right" indent="1"/>
    </xf>
    <xf numFmtId="0" fontId="0" fillId="2" borderId="0" xfId="0" applyFill="1" applyAlignment="1" applyProtection="1">
      <alignment horizontal="left"/>
      <protection locked="0"/>
    </xf>
    <xf numFmtId="2" fontId="1" fillId="0" borderId="0" xfId="0" applyNumberFormat="1" applyFont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11" fillId="9" borderId="7" xfId="0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14" fontId="0" fillId="8" borderId="13" xfId="0" applyNumberFormat="1" applyFill="1" applyBorder="1" applyAlignment="1">
      <alignment horizontal="center"/>
    </xf>
    <xf numFmtId="0" fontId="11" fillId="9" borderId="0" xfId="0" applyFont="1" applyFill="1" applyAlignment="1">
      <alignment vertical="center"/>
    </xf>
    <xf numFmtId="0" fontId="11" fillId="9" borderId="0" xfId="0" applyFont="1" applyFill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2" fontId="12" fillId="0" borderId="0" xfId="0" applyNumberFormat="1" applyFont="1" applyAlignment="1">
      <alignment horizontal="left"/>
    </xf>
    <xf numFmtId="0" fontId="3" fillId="2" borderId="0" xfId="0" applyFont="1" applyFill="1" applyAlignment="1" applyProtection="1">
      <alignment horizontal="left"/>
      <protection locked="0"/>
    </xf>
    <xf numFmtId="0" fontId="8" fillId="0" borderId="0" xfId="0" applyFont="1" applyAlignment="1">
      <alignment horizontal="left" indent="1"/>
    </xf>
    <xf numFmtId="9" fontId="4" fillId="0" borderId="0" xfId="0" applyNumberFormat="1" applyFont="1" applyAlignment="1">
      <alignment horizontal="center"/>
    </xf>
    <xf numFmtId="14" fontId="0" fillId="8" borderId="16" xfId="0" applyNumberForma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13" fillId="0" borderId="0" xfId="0" applyFont="1"/>
    <xf numFmtId="0" fontId="0" fillId="0" borderId="0" xfId="0" applyAlignment="1">
      <alignment horizontal="right" indent="1"/>
    </xf>
    <xf numFmtId="0" fontId="1" fillId="8" borderId="0" xfId="0" applyFont="1" applyFill="1" applyAlignment="1">
      <alignment horizontal="left" indent="1"/>
    </xf>
    <xf numFmtId="0" fontId="0" fillId="0" borderId="0" xfId="0" applyAlignment="1" applyProtection="1">
      <alignment horizontal="left" indent="1"/>
      <protection locked="0"/>
    </xf>
    <xf numFmtId="0" fontId="1" fillId="3" borderId="1" xfId="0" applyFont="1" applyFill="1" applyBorder="1" applyAlignment="1">
      <alignment horizontal="right" indent="1"/>
    </xf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/>
    <xf numFmtId="2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 indent="1"/>
    </xf>
    <xf numFmtId="0" fontId="15" fillId="0" borderId="0" xfId="0" applyFont="1" applyAlignment="1">
      <alignment horizontal="left" indent="1"/>
    </xf>
    <xf numFmtId="0" fontId="16" fillId="0" borderId="0" xfId="1" applyProtection="1"/>
    <xf numFmtId="0" fontId="1" fillId="8" borderId="0" xfId="0" applyFont="1" applyFill="1" applyAlignment="1">
      <alignment horizontal="left" vertical="top" indent="1"/>
    </xf>
    <xf numFmtId="0" fontId="17" fillId="8" borderId="0" xfId="0" applyFont="1" applyFill="1" applyAlignment="1">
      <alignment horizontal="left" indent="1"/>
    </xf>
    <xf numFmtId="0" fontId="3" fillId="8" borderId="4" xfId="0" applyFont="1" applyFill="1" applyBorder="1" applyAlignment="1">
      <alignment horizontal="center"/>
    </xf>
    <xf numFmtId="0" fontId="1" fillId="8" borderId="4" xfId="0" applyFont="1" applyFill="1" applyBorder="1"/>
    <xf numFmtId="0" fontId="9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  <xf numFmtId="0" fontId="2" fillId="4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19" fillId="0" borderId="0" xfId="0" applyFont="1" applyAlignment="1">
      <alignment horizontal="left"/>
    </xf>
    <xf numFmtId="0" fontId="18" fillId="9" borderId="0" xfId="0" applyFont="1" applyFill="1" applyAlignment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9" fillId="9" borderId="0" xfId="0" applyFont="1" applyFill="1" applyAlignment="1">
      <alignment horizontal="left" vertical="center" wrapText="1"/>
    </xf>
    <xf numFmtId="0" fontId="14" fillId="9" borderId="0" xfId="0" applyFont="1" applyFill="1" applyAlignment="1">
      <alignment horizontal="left" vertical="center" wrapText="1"/>
    </xf>
    <xf numFmtId="0" fontId="0" fillId="8" borderId="0" xfId="0" applyFill="1" applyBorder="1" applyAlignment="1">
      <alignment horizontal="left" indent="1"/>
    </xf>
    <xf numFmtId="0" fontId="11" fillId="9" borderId="17" xfId="0" applyFont="1" applyFill="1" applyBorder="1" applyAlignment="1">
      <alignment horizontal="center" vertical="center"/>
    </xf>
    <xf numFmtId="0" fontId="0" fillId="8" borderId="4" xfId="0" applyFill="1" applyBorder="1" applyAlignment="1">
      <alignment horizontal="center"/>
    </xf>
  </cellXfs>
  <cellStyles count="2">
    <cellStyle name="Hiperlink" xfId="1" builtinId="8"/>
    <cellStyle name="Normal" xfId="0" builtinId="0"/>
  </cellStyles>
  <dxfs count="30"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5700"/>
      </font>
      <fill>
        <patternFill>
          <bgColor rgb="FFFFEB9C"/>
        </patternFill>
      </fill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2D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resesb.cepel.br/index.php?section=sundata&amp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DD495-1ED6-46A6-9F51-123D04D17C72}">
  <sheetPr codeName="Planilha1"/>
  <dimension ref="A1:AC129"/>
  <sheetViews>
    <sheetView tabSelected="1" zoomScaleNormal="100" workbookViewId="0">
      <selection activeCell="B59" sqref="B59"/>
    </sheetView>
  </sheetViews>
  <sheetFormatPr defaultColWidth="10.85546875" defaultRowHeight="17.25" customHeight="1" x14ac:dyDescent="0.25"/>
  <cols>
    <col min="1" max="1" width="64.28515625" style="3" customWidth="1"/>
    <col min="2" max="2" width="10.85546875" style="14"/>
    <col min="14" max="14" width="0" style="43" hidden="1" customWidth="1"/>
    <col min="15" max="23" width="0" hidden="1" customWidth="1"/>
    <col min="24" max="24" width="0" style="43" hidden="1" customWidth="1"/>
  </cols>
  <sheetData>
    <row r="1" spans="1:29" ht="17.25" customHeight="1" x14ac:dyDescent="0.25">
      <c r="A1" s="82" t="s">
        <v>555</v>
      </c>
      <c r="B1" s="124" t="s">
        <v>363</v>
      </c>
      <c r="E1" s="130" t="s">
        <v>348</v>
      </c>
      <c r="F1" s="130"/>
    </row>
    <row r="2" spans="1:29" ht="17.25" customHeight="1" x14ac:dyDescent="0.25">
      <c r="A2" s="83">
        <v>45139</v>
      </c>
      <c r="B2" s="124" t="s">
        <v>364</v>
      </c>
      <c r="E2" s="130"/>
      <c r="F2" s="130"/>
      <c r="G2" s="122"/>
      <c r="H2" s="122"/>
      <c r="I2" s="122"/>
      <c r="J2" s="122"/>
      <c r="K2" s="122"/>
      <c r="L2" s="122"/>
    </row>
    <row r="3" spans="1:29" ht="17.25" customHeight="1" x14ac:dyDescent="0.25">
      <c r="A3" s="83"/>
      <c r="B3" s="124"/>
      <c r="E3" s="133" t="s">
        <v>358</v>
      </c>
      <c r="F3" s="133"/>
      <c r="G3" s="133"/>
      <c r="H3" s="133"/>
      <c r="I3" s="133"/>
      <c r="J3" s="133"/>
      <c r="K3" s="133"/>
      <c r="L3" s="133"/>
    </row>
    <row r="4" spans="1:29" ht="17.25" customHeight="1" x14ac:dyDescent="0.3">
      <c r="A4" s="15" t="s">
        <v>347</v>
      </c>
      <c r="B4" s="131"/>
      <c r="C4" s="132"/>
      <c r="D4" s="16"/>
      <c r="E4" s="133"/>
      <c r="F4" s="133"/>
      <c r="G4" s="133"/>
      <c r="H4" s="133"/>
      <c r="I4" s="133"/>
      <c r="J4" s="133"/>
      <c r="K4" s="133"/>
      <c r="L4" s="133"/>
    </row>
    <row r="5" spans="1:29" ht="17.25" customHeight="1" x14ac:dyDescent="0.25">
      <c r="A5" s="84" t="s">
        <v>312</v>
      </c>
      <c r="B5" s="52" t="e">
        <f>HLOOKUP($B$4,INVERSORES!4:57,29,0)</f>
        <v>#N/A</v>
      </c>
      <c r="E5" s="133"/>
      <c r="F5" s="133"/>
      <c r="G5" s="133"/>
      <c r="H5" s="133"/>
      <c r="I5" s="133"/>
      <c r="J5" s="133"/>
      <c r="K5" s="133"/>
      <c r="L5" s="133"/>
      <c r="O5" s="16" t="s">
        <v>111</v>
      </c>
      <c r="P5" s="17"/>
      <c r="R5" s="16" t="s">
        <v>112</v>
      </c>
      <c r="U5" s="16" t="s">
        <v>207</v>
      </c>
    </row>
    <row r="6" spans="1:29" ht="17.25" customHeight="1" x14ac:dyDescent="0.25">
      <c r="A6" s="3" t="s">
        <v>365</v>
      </c>
      <c r="B6" s="14" t="e">
        <f>HLOOKUP($B$4,INVERSORES!4:57,30,0)</f>
        <v>#N/A</v>
      </c>
      <c r="E6" s="133"/>
      <c r="F6" s="133"/>
      <c r="G6" s="133"/>
      <c r="H6" s="133"/>
      <c r="I6" s="133"/>
      <c r="J6" s="133"/>
      <c r="K6" s="133"/>
      <c r="L6" s="133"/>
      <c r="O6" s="16"/>
      <c r="P6" s="17"/>
      <c r="R6" s="16"/>
      <c r="U6" s="16"/>
    </row>
    <row r="7" spans="1:29" ht="17.25" customHeight="1" x14ac:dyDescent="0.25">
      <c r="A7" s="3" t="s">
        <v>4</v>
      </c>
      <c r="B7" s="14" t="e">
        <f>HLOOKUP($B$4,INVERSORES!4:57,2,0)</f>
        <v>#N/A</v>
      </c>
      <c r="E7" s="133"/>
      <c r="F7" s="133"/>
      <c r="G7" s="133"/>
      <c r="H7" s="133"/>
      <c r="I7" s="133"/>
      <c r="J7" s="133"/>
      <c r="K7" s="133"/>
      <c r="L7" s="133"/>
      <c r="O7" s="16"/>
      <c r="P7" s="17"/>
      <c r="R7" s="16"/>
      <c r="U7" s="16"/>
    </row>
    <row r="8" spans="1:29" ht="17.25" customHeight="1" x14ac:dyDescent="0.25">
      <c r="A8" s="3" t="s">
        <v>1</v>
      </c>
      <c r="B8" s="14" t="e">
        <f>HLOOKUP($B$4,INVERSORES!4:57,3,0)</f>
        <v>#N/A</v>
      </c>
      <c r="E8" s="133"/>
      <c r="F8" s="133"/>
      <c r="G8" s="133"/>
      <c r="H8" s="133"/>
      <c r="I8" s="133"/>
      <c r="J8" s="133"/>
      <c r="K8" s="133"/>
      <c r="L8" s="133"/>
      <c r="O8" t="s">
        <v>105</v>
      </c>
      <c r="P8" s="17"/>
      <c r="Q8" s="1" t="e">
        <f>HLOOKUP($B$4,INVERSORES!4:57,10,0)</f>
        <v>#N/A</v>
      </c>
      <c r="R8" t="s">
        <v>118</v>
      </c>
      <c r="T8" s="1" t="e">
        <f>HLOOKUP($B$4,INVERSORES!4:57,11,0)</f>
        <v>#N/A</v>
      </c>
      <c r="U8" t="s">
        <v>118</v>
      </c>
      <c r="W8" s="1" t="e">
        <f>HLOOKUP($B$4,INVERSORES!4:57,23,0)</f>
        <v>#N/A</v>
      </c>
    </row>
    <row r="9" spans="1:29" ht="17.25" customHeight="1" x14ac:dyDescent="0.25">
      <c r="A9" s="3" t="s">
        <v>2</v>
      </c>
      <c r="B9" s="14" t="e">
        <f>HLOOKUP($B$4,INVERSORES!4:57,4,0)</f>
        <v>#N/A</v>
      </c>
      <c r="E9" s="133" t="s">
        <v>362</v>
      </c>
      <c r="F9" s="133"/>
      <c r="G9" s="133"/>
      <c r="H9" s="133"/>
      <c r="I9" s="133"/>
      <c r="J9" s="133"/>
      <c r="K9" s="133"/>
      <c r="L9" s="133"/>
      <c r="O9" t="s">
        <v>106</v>
      </c>
      <c r="P9" s="17"/>
      <c r="Q9" s="1" t="e">
        <f>HLOOKUP($B$4,INVERSORES!4:57,12,0)</f>
        <v>#N/A</v>
      </c>
      <c r="R9" t="s">
        <v>113</v>
      </c>
      <c r="T9" s="1" t="e">
        <f>HLOOKUP($B$4,INVERSORES!4:57,13,0)</f>
        <v>#N/A</v>
      </c>
      <c r="U9" t="s">
        <v>113</v>
      </c>
      <c r="W9" s="1" t="e">
        <f>HLOOKUP($B$4,INVERSORES!4:57,24,0)</f>
        <v>#N/A</v>
      </c>
    </row>
    <row r="10" spans="1:29" ht="17.25" customHeight="1" x14ac:dyDescent="0.25">
      <c r="A10" s="3" t="s">
        <v>3</v>
      </c>
      <c r="B10" s="14" t="e">
        <f>HLOOKUP($B$4,INVERSORES!4:57,5,0)</f>
        <v>#N/A</v>
      </c>
      <c r="E10" s="133"/>
      <c r="F10" s="133"/>
      <c r="G10" s="133"/>
      <c r="H10" s="133"/>
      <c r="I10" s="133"/>
      <c r="J10" s="133"/>
      <c r="K10" s="133"/>
      <c r="L10" s="133"/>
      <c r="O10" t="s">
        <v>107</v>
      </c>
      <c r="P10" s="17"/>
      <c r="Q10" s="1" t="e">
        <f>HLOOKUP($B$4,INVERSORES!4:57,14,0)</f>
        <v>#N/A</v>
      </c>
      <c r="R10" t="s">
        <v>114</v>
      </c>
      <c r="T10" s="1" t="e">
        <f>HLOOKUP($B$4,INVERSORES!4:57,15,0)</f>
        <v>#N/A</v>
      </c>
      <c r="U10" t="s">
        <v>114</v>
      </c>
      <c r="W10" s="1" t="e">
        <f>HLOOKUP($B$4,INVERSORES!4:57,25,0)</f>
        <v>#N/A</v>
      </c>
    </row>
    <row r="11" spans="1:29" ht="17.25" customHeight="1" x14ac:dyDescent="0.25">
      <c r="A11" s="3" t="s">
        <v>120</v>
      </c>
      <c r="B11" s="14" t="e">
        <f>HLOOKUP($B$4,INVERSORES!4:57,6,0)</f>
        <v>#N/A</v>
      </c>
      <c r="E11" s="133"/>
      <c r="F11" s="133"/>
      <c r="G11" s="133"/>
      <c r="H11" s="133"/>
      <c r="I11" s="133"/>
      <c r="J11" s="133"/>
      <c r="K11" s="133"/>
      <c r="L11" s="133"/>
      <c r="O11" t="s">
        <v>108</v>
      </c>
      <c r="P11" s="17"/>
      <c r="Q11" s="1" t="e">
        <f>HLOOKUP($B$4,INVERSORES!4:57,16,0)</f>
        <v>#N/A</v>
      </c>
      <c r="R11" t="s">
        <v>115</v>
      </c>
      <c r="T11" s="1" t="e">
        <f>HLOOKUP($B$4,INVERSORES!4:57,17,0)</f>
        <v>#N/A</v>
      </c>
      <c r="U11" t="s">
        <v>115</v>
      </c>
      <c r="W11" s="1" t="e">
        <f>HLOOKUP($B$4,INVERSORES!4:57,26,0)</f>
        <v>#N/A</v>
      </c>
      <c r="AC11" s="123"/>
    </row>
    <row r="12" spans="1:29" ht="17.25" customHeight="1" x14ac:dyDescent="0.25">
      <c r="A12" s="3" t="s">
        <v>121</v>
      </c>
      <c r="B12" s="14" t="e">
        <f>HLOOKUP($B$4,INVERSORES!4:57,7,0)</f>
        <v>#N/A</v>
      </c>
      <c r="C12" s="17"/>
      <c r="E12" s="133" t="s">
        <v>357</v>
      </c>
      <c r="F12" s="133"/>
      <c r="G12" s="133"/>
      <c r="H12" s="133"/>
      <c r="I12" s="133"/>
      <c r="J12" s="133"/>
      <c r="K12" s="133"/>
      <c r="L12" s="133"/>
      <c r="O12" t="s">
        <v>109</v>
      </c>
      <c r="Q12" s="1" t="e">
        <f>HLOOKUP($B$4,INVERSORES!4:57,18,0)</f>
        <v>#N/A</v>
      </c>
      <c r="R12" t="s">
        <v>116</v>
      </c>
      <c r="T12" s="1" t="e">
        <f>HLOOKUP($B$4,INVERSORES!4:57,19,0)</f>
        <v>#N/A</v>
      </c>
      <c r="U12" t="s">
        <v>116</v>
      </c>
      <c r="W12" s="1" t="e">
        <f>HLOOKUP($B$4,INVERSORES!4:57,27,0)</f>
        <v>#N/A</v>
      </c>
    </row>
    <row r="13" spans="1:29" ht="17.25" customHeight="1" x14ac:dyDescent="0.25">
      <c r="A13" s="3" t="s">
        <v>125</v>
      </c>
      <c r="B13" s="14" t="e">
        <f>HLOOKUP($B$4,INVERSORES!4:57,8,0)</f>
        <v>#N/A</v>
      </c>
      <c r="C13" s="17"/>
      <c r="E13" s="133"/>
      <c r="F13" s="133"/>
      <c r="G13" s="133"/>
      <c r="H13" s="133"/>
      <c r="I13" s="133"/>
      <c r="J13" s="133"/>
      <c r="K13" s="133"/>
      <c r="L13" s="133"/>
      <c r="O13" t="s">
        <v>110</v>
      </c>
      <c r="Q13" s="1" t="e">
        <f>HLOOKUP($B$4,INVERSORES!4:57,20,0)</f>
        <v>#N/A</v>
      </c>
      <c r="R13" t="s">
        <v>117</v>
      </c>
      <c r="T13" s="1" t="e">
        <f>HLOOKUP($B$4,INVERSORES!4:57,21,0)</f>
        <v>#N/A</v>
      </c>
      <c r="U13" t="s">
        <v>117</v>
      </c>
      <c r="W13" s="1" t="e">
        <f>HLOOKUP($B$4,INVERSORES!4:57,28,0)</f>
        <v>#N/A</v>
      </c>
    </row>
    <row r="14" spans="1:29" ht="17.25" customHeight="1" x14ac:dyDescent="0.25">
      <c r="A14" s="3" t="s">
        <v>427</v>
      </c>
      <c r="B14" s="14" t="e">
        <f>HLOOKUP($B$4,INVERSORES!4:57,9,0)</f>
        <v>#N/A</v>
      </c>
      <c r="C14" s="17"/>
      <c r="E14" s="133"/>
      <c r="F14" s="133"/>
      <c r="G14" s="133"/>
      <c r="H14" s="133"/>
      <c r="I14" s="133"/>
      <c r="J14" s="133"/>
      <c r="K14" s="133"/>
      <c r="L14" s="133"/>
      <c r="O14" s="16" t="s">
        <v>119</v>
      </c>
      <c r="P14" t="e">
        <f>IF(Q9=0,Q8,IF(Q10=0,CONCATENATE(Q8," / ",Q9),IF(Q11=0,CONCATENATE(Q8," / ",Q9," / ",Q10),IF(Q12=0,CONCATENATE(Q11," / ",Q10," / ",Q9," / ",Q8),IF(Q13=0,CONCATENATE(Q12," / ",Q11," / ",Q10," / ",Q9," / ",Q8),CONCATENATE(Q13," / ",Q12," / ",Q11," / ",Q10," / ",Q9," / ",Q8))))))</f>
        <v>#N/A</v>
      </c>
      <c r="R14" s="16" t="s">
        <v>119</v>
      </c>
      <c r="S14" t="e">
        <f>IF(T9=0,T8,IF(T10=0,CONCATENATE(T8," + ",T9),IF(T11=0,CONCATENATE(T8," + ",T9," + ",T10),IF(T12=0,CONCATENATE(T11," + ",T10," + ",T9," + ",T8),IF(T13=0,CONCATENATE(T12," + ",T11," + ",T10," + ",T9," + ",T8),CONCATENATE(T13," + ",T12," + ",T11," + ",T10," + ",T9," + ",T8))))))</f>
        <v>#N/A</v>
      </c>
      <c r="U14" s="16" t="s">
        <v>119</v>
      </c>
      <c r="V14" t="e">
        <f>IF(W9=0,W8,IF(W10=0,CONCATENATE(W8," + ",W9),IF(W11=0,CONCATENATE(W8," + ",W9," + ",W10),IF(W12=0,CONCATENATE(W11," + ",W10," + ",W9," + ",W8),IF(W13=0,CONCATENATE(W12," + ",W11," + ",W10," + ",W9," + ",W8),CONCATENATE(W13," + ",W12," + ",W11," + ",W10," + ",W9," + ",W8))))))</f>
        <v>#N/A</v>
      </c>
    </row>
    <row r="15" spans="1:29" ht="17.25" customHeight="1" x14ac:dyDescent="0.25">
      <c r="A15" s="3" t="s">
        <v>554</v>
      </c>
      <c r="B15" s="14" t="e">
        <f>P14</f>
        <v>#N/A</v>
      </c>
      <c r="E15" s="134" t="s">
        <v>544</v>
      </c>
      <c r="F15" s="134"/>
      <c r="G15" s="134"/>
      <c r="H15" s="134"/>
      <c r="I15" s="134"/>
      <c r="J15" s="134"/>
      <c r="K15" s="134"/>
      <c r="L15" s="134"/>
    </row>
    <row r="16" spans="1:29" ht="17.25" customHeight="1" x14ac:dyDescent="0.25">
      <c r="A16" s="3" t="s">
        <v>428</v>
      </c>
      <c r="B16" s="14" t="e">
        <f>S14</f>
        <v>#N/A</v>
      </c>
      <c r="E16" s="134"/>
      <c r="F16" s="134"/>
      <c r="G16" s="134"/>
      <c r="H16" s="134"/>
      <c r="I16" s="134"/>
      <c r="J16" s="134"/>
      <c r="K16" s="134"/>
      <c r="L16" s="134"/>
    </row>
    <row r="17" spans="1:24" ht="17.25" customHeight="1" x14ac:dyDescent="0.25">
      <c r="A17" s="3" t="s">
        <v>429</v>
      </c>
      <c r="B17" s="14" t="e">
        <f>V14</f>
        <v>#N/A</v>
      </c>
      <c r="E17" s="134"/>
      <c r="F17" s="134"/>
      <c r="G17" s="134"/>
      <c r="H17" s="134"/>
      <c r="I17" s="134"/>
      <c r="J17" s="134"/>
      <c r="K17" s="134"/>
      <c r="L17" s="134"/>
    </row>
    <row r="18" spans="1:24" s="19" customFormat="1" ht="17.25" customHeight="1" x14ac:dyDescent="0.25">
      <c r="A18" s="18"/>
      <c r="N18" s="44"/>
      <c r="X18" s="44"/>
    </row>
    <row r="19" spans="1:24" ht="17.25" customHeight="1" x14ac:dyDescent="0.25">
      <c r="B19" s="20"/>
      <c r="O19" s="57" t="s">
        <v>143</v>
      </c>
      <c r="P19" s="11" t="e">
        <f>IF(AND((ISNUMBER(Q8)),(Q8&lt;&gt;0)),1,0)</f>
        <v>#N/A</v>
      </c>
      <c r="Q19" s="58"/>
      <c r="R19" s="58"/>
    </row>
    <row r="20" spans="1:24" ht="17.25" customHeight="1" x14ac:dyDescent="0.3">
      <c r="A20" s="15" t="s">
        <v>5</v>
      </c>
      <c r="B20" s="131"/>
      <c r="C20" s="132"/>
      <c r="D20" s="129" t="str">
        <f>IFERROR("",IF(HLOOKUP($B$20,MÓDULOS!B6:BZ22,16,0)=2,"",IF(HLOOKUP($B$20,MÓDULOS!B6:BZ22,16,0)=1,"MÓDULO BIFACIAL! ATENÇÃO AOS INCREMENTOS DE CORRENTE, NÃO SÃO CALCULADOS PELA PLANILHA!",)))</f>
        <v/>
      </c>
      <c r="F20" s="4"/>
      <c r="G20" s="4"/>
      <c r="H20" s="4"/>
      <c r="I20" s="4"/>
      <c r="J20" s="4"/>
      <c r="K20" s="4"/>
      <c r="L20" s="4"/>
      <c r="M20" s="4"/>
      <c r="N20" s="45"/>
      <c r="O20" s="57" t="s">
        <v>144</v>
      </c>
      <c r="P20" s="11" t="e">
        <f>IF(AND((ISNUMBER(Q9)),(Q9&lt;&gt;0)),1,0)</f>
        <v>#N/A</v>
      </c>
      <c r="Q20" s="58"/>
      <c r="R20" s="58"/>
    </row>
    <row r="21" spans="1:24" ht="17.25" customHeight="1" x14ac:dyDescent="0.25">
      <c r="A21" s="84" t="s">
        <v>332</v>
      </c>
      <c r="B21" s="52" t="e">
        <f>HLOOKUP($B$20,MÓDULOS!B6:BZ22,12,0)</f>
        <v>#N/A</v>
      </c>
      <c r="E21" s="4"/>
      <c r="F21" s="4"/>
      <c r="G21" s="4"/>
      <c r="H21" s="4"/>
      <c r="I21" s="4"/>
      <c r="J21" s="4"/>
      <c r="K21" s="4"/>
      <c r="L21" s="4"/>
      <c r="M21" s="4"/>
      <c r="N21" s="45"/>
      <c r="O21" s="57" t="s">
        <v>145</v>
      </c>
      <c r="P21" s="11" t="e">
        <f>IF(AND((ISNUMBER(Q10)),(Q10&lt;&gt;0)),1,0)</f>
        <v>#N/A</v>
      </c>
      <c r="Q21" s="58" t="s">
        <v>149</v>
      </c>
      <c r="R21" s="58"/>
    </row>
    <row r="22" spans="1:24" ht="17.25" customHeight="1" x14ac:dyDescent="0.25">
      <c r="A22" s="84" t="s">
        <v>333</v>
      </c>
      <c r="B22" s="52" t="e">
        <f>HLOOKUP($B$20,MÓDULOS!B6:BZ22,13,0)</f>
        <v>#N/A</v>
      </c>
      <c r="D22" s="16" t="s">
        <v>409</v>
      </c>
      <c r="E22" s="4"/>
      <c r="F22" s="4"/>
      <c r="G22" s="4"/>
      <c r="H22" s="4"/>
      <c r="I22" s="4"/>
      <c r="J22" s="4"/>
      <c r="K22" s="4"/>
      <c r="L22" s="4"/>
      <c r="M22" s="4"/>
      <c r="N22" s="45"/>
      <c r="O22" s="57"/>
      <c r="P22" s="11"/>
      <c r="Q22" s="58"/>
      <c r="R22" s="58"/>
    </row>
    <row r="23" spans="1:24" ht="17.25" customHeight="1" x14ac:dyDescent="0.25">
      <c r="A23" s="3" t="s">
        <v>397</v>
      </c>
      <c r="B23" s="14" t="e">
        <f>HLOOKUP($B$20,MÓDULOS!B6:BZ22,14,0)</f>
        <v>#N/A</v>
      </c>
      <c r="E23" s="4"/>
      <c r="F23" s="4"/>
      <c r="G23" s="4"/>
      <c r="H23" s="4"/>
      <c r="I23" s="4"/>
      <c r="J23" s="4"/>
      <c r="K23" s="4"/>
      <c r="L23" s="4"/>
      <c r="M23" s="4"/>
      <c r="N23" s="45"/>
      <c r="O23" s="57"/>
      <c r="P23" s="11"/>
      <c r="Q23" s="58"/>
      <c r="R23" s="58"/>
    </row>
    <row r="24" spans="1:24" ht="17.25" customHeight="1" x14ac:dyDescent="0.25">
      <c r="A24" s="3" t="s">
        <v>398</v>
      </c>
      <c r="B24" s="14" t="e">
        <f>HLOOKUP($B$20,MÓDULOS!B6:BZ22,15,0)</f>
        <v>#N/A</v>
      </c>
      <c r="E24" s="4"/>
      <c r="F24" s="4"/>
      <c r="G24" s="4"/>
      <c r="H24" s="4"/>
      <c r="I24" s="4"/>
      <c r="J24" s="4"/>
      <c r="K24" s="4"/>
      <c r="L24" s="4"/>
      <c r="M24" s="4"/>
      <c r="N24" s="45"/>
      <c r="O24" s="57"/>
      <c r="P24" s="11"/>
      <c r="Q24" s="58"/>
      <c r="R24" s="58"/>
    </row>
    <row r="25" spans="1:24" ht="17.25" customHeight="1" x14ac:dyDescent="0.25">
      <c r="A25" s="3" t="s">
        <v>9</v>
      </c>
      <c r="B25" s="8">
        <v>-10</v>
      </c>
      <c r="F25" s="42"/>
      <c r="G25" s="4"/>
      <c r="H25" s="4"/>
      <c r="I25" s="4"/>
      <c r="J25" s="4"/>
      <c r="K25" s="4"/>
      <c r="L25" s="4"/>
      <c r="M25" s="4"/>
      <c r="N25" s="45"/>
      <c r="O25" s="57"/>
      <c r="P25" s="11"/>
      <c r="Q25" s="58"/>
      <c r="R25" s="58"/>
    </row>
    <row r="26" spans="1:24" ht="17.25" customHeight="1" x14ac:dyDescent="0.25">
      <c r="A26" s="3" t="s">
        <v>10</v>
      </c>
      <c r="B26" s="8">
        <v>90</v>
      </c>
      <c r="F26" s="42"/>
      <c r="G26" s="4"/>
      <c r="H26" s="4"/>
      <c r="I26" s="4"/>
      <c r="J26" s="4"/>
      <c r="K26" s="4"/>
      <c r="L26" s="4"/>
      <c r="M26" s="4"/>
      <c r="N26" s="45"/>
      <c r="O26" s="57" t="s">
        <v>146</v>
      </c>
      <c r="P26" s="11" t="e">
        <f>IF(AND((ISNUMBER(Q11)),(Q11&lt;&gt;0)),1,0)</f>
        <v>#N/A</v>
      </c>
      <c r="Q26" s="58" t="e">
        <f>SUM(P19:P30)</f>
        <v>#N/A</v>
      </c>
      <c r="R26" s="58"/>
    </row>
    <row r="27" spans="1:24" ht="17.25" customHeight="1" x14ac:dyDescent="0.25">
      <c r="A27" s="3" t="s">
        <v>11</v>
      </c>
      <c r="B27" s="8">
        <v>45</v>
      </c>
      <c r="C27" s="16" t="str">
        <f>IF(B26&lt;B27,"TEMPERATURA MÁXIMA MENOR","")</f>
        <v/>
      </c>
      <c r="E27" s="4"/>
      <c r="F27" s="4"/>
      <c r="G27" s="4"/>
      <c r="H27" s="4"/>
      <c r="I27" s="4"/>
      <c r="J27" s="4"/>
      <c r="K27" s="4"/>
      <c r="L27" s="4"/>
      <c r="M27" s="4"/>
      <c r="N27" s="45"/>
      <c r="O27" s="57" t="s">
        <v>147</v>
      </c>
      <c r="P27" s="11" t="e">
        <f>IF(AND((ISNUMBER(Q12)),(Q12&lt;&gt;0)),1,0)</f>
        <v>#N/A</v>
      </c>
      <c r="Q27" s="58"/>
      <c r="R27" s="58"/>
    </row>
    <row r="28" spans="1:24" s="43" customFormat="1" ht="17.25" hidden="1" customHeight="1" x14ac:dyDescent="0.25">
      <c r="A28" s="111" t="s">
        <v>196</v>
      </c>
      <c r="B28" s="112"/>
      <c r="C28" s="113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61"/>
      <c r="P28" s="7"/>
    </row>
    <row r="29" spans="1:24" ht="17.25" hidden="1" customHeight="1" x14ac:dyDescent="0.25">
      <c r="A29" s="84" t="s">
        <v>7</v>
      </c>
      <c r="B29" s="30" t="e">
        <f>B28/B30</f>
        <v>#N/A</v>
      </c>
      <c r="C29" s="16"/>
      <c r="E29" s="4"/>
      <c r="F29" s="4"/>
      <c r="G29" s="4"/>
      <c r="H29" s="4"/>
      <c r="I29" s="4"/>
      <c r="J29" s="4"/>
      <c r="K29" s="4"/>
      <c r="L29" s="4"/>
      <c r="M29" s="4"/>
      <c r="N29" s="45"/>
      <c r="O29" s="57"/>
      <c r="P29" s="11"/>
      <c r="Q29" s="58"/>
      <c r="R29" s="58"/>
    </row>
    <row r="30" spans="1:24" ht="17.25" hidden="1" customHeight="1" x14ac:dyDescent="0.25">
      <c r="A30" s="3" t="s">
        <v>8</v>
      </c>
      <c r="B30" s="14" t="e">
        <f>HLOOKUP($B$20,MÓDULOS!$B$6:$EF$14,2,0)</f>
        <v>#N/A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46"/>
      <c r="O30" s="21" t="s">
        <v>148</v>
      </c>
      <c r="P30" s="5" t="e">
        <f>IF(AND((ISNUMBER(Q13)),(Q13&lt;&gt;0)),1,0)</f>
        <v>#N/A</v>
      </c>
      <c r="R30" t="s">
        <v>150</v>
      </c>
    </row>
    <row r="31" spans="1:24" ht="17.25" hidden="1" customHeight="1" x14ac:dyDescent="0.25">
      <c r="A31" s="3" t="s">
        <v>12</v>
      </c>
      <c r="B31" s="14" t="e">
        <f>HLOOKUP($B$20,MÓDULOS!$B$6:$EF$14,3,0)</f>
        <v>#N/A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46"/>
      <c r="R31" s="59" t="s">
        <v>151</v>
      </c>
      <c r="S31" s="59"/>
      <c r="T31" s="59"/>
    </row>
    <row r="32" spans="1:24" ht="17.25" hidden="1" customHeight="1" x14ac:dyDescent="0.25">
      <c r="A32" s="3" t="s">
        <v>13</v>
      </c>
      <c r="B32" s="14" t="e">
        <f>HLOOKUP($B$20,MÓDULOS!$B$6:$EF$14,4,0)</f>
        <v>#N/A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46"/>
      <c r="R32" s="59" t="s">
        <v>152</v>
      </c>
      <c r="S32" s="59"/>
      <c r="T32" s="59"/>
    </row>
    <row r="33" spans="1:24" ht="17.25" hidden="1" customHeight="1" x14ac:dyDescent="0.25">
      <c r="A33" s="3" t="s">
        <v>14</v>
      </c>
      <c r="B33" s="14" t="e">
        <f>HLOOKUP($B$20,MÓDULOS!$B$6:$EF$14,5,0)</f>
        <v>#N/A</v>
      </c>
      <c r="D33" s="1"/>
      <c r="E33" s="6"/>
      <c r="F33" s="6"/>
      <c r="G33" s="6"/>
      <c r="H33" s="6"/>
      <c r="I33" s="6"/>
      <c r="J33" s="1"/>
      <c r="K33" s="1"/>
      <c r="L33" s="1"/>
      <c r="M33" s="1"/>
      <c r="N33" s="46"/>
      <c r="R33" s="59" t="s">
        <v>153</v>
      </c>
      <c r="S33" s="59"/>
      <c r="T33" s="59"/>
    </row>
    <row r="34" spans="1:24" ht="17.25" hidden="1" customHeight="1" x14ac:dyDescent="0.25">
      <c r="A34" s="3" t="s">
        <v>15</v>
      </c>
      <c r="B34" s="14" t="e">
        <f>HLOOKUP($B$20,MÓDULOS!$B$6:$EF$14,6,0)</f>
        <v>#N/A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46"/>
    </row>
    <row r="35" spans="1:24" ht="17.25" hidden="1" customHeight="1" x14ac:dyDescent="0.25">
      <c r="A35" s="3" t="s">
        <v>16</v>
      </c>
      <c r="B35" s="14" t="e">
        <f>HLOOKUP($B$20,MÓDULOS!$B$6:$EF$14,7,0)</f>
        <v>#N/A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46"/>
    </row>
    <row r="36" spans="1:24" ht="17.25" hidden="1" customHeight="1" x14ac:dyDescent="0.25">
      <c r="A36" s="3" t="s">
        <v>17</v>
      </c>
      <c r="B36" s="14" t="e">
        <f>HLOOKUP($B$20,MÓDULOS!$B$6:$EF$14,8,0)</f>
        <v>#N/A</v>
      </c>
      <c r="D36" s="1"/>
      <c r="E36" s="1"/>
      <c r="F36" s="1"/>
      <c r="G36" s="1"/>
      <c r="H36" s="6"/>
      <c r="I36" s="1"/>
      <c r="J36" s="1"/>
      <c r="K36" s="1"/>
      <c r="L36" s="1"/>
      <c r="M36" s="1"/>
      <c r="N36" s="46"/>
    </row>
    <row r="37" spans="1:24" ht="17.25" hidden="1" customHeight="1" x14ac:dyDescent="0.25">
      <c r="A37" s="3" t="s">
        <v>18</v>
      </c>
      <c r="B37" s="22" t="e">
        <f>HLOOKUP($B$20,MÓDULOS!$B$6:$EF$14,9,0)</f>
        <v>#N/A</v>
      </c>
      <c r="D37" s="1"/>
      <c r="E37" s="1"/>
      <c r="F37" s="1"/>
      <c r="G37" s="1"/>
      <c r="H37" s="6"/>
      <c r="I37" s="1"/>
      <c r="J37" s="1"/>
      <c r="K37" s="1"/>
      <c r="L37" s="1"/>
      <c r="M37" s="1"/>
      <c r="N37" s="46"/>
    </row>
    <row r="38" spans="1:24" s="19" customFormat="1" ht="17.25" hidden="1" customHeight="1" x14ac:dyDescent="0.25">
      <c r="A38" s="18"/>
      <c r="D38" s="23"/>
      <c r="E38" s="24"/>
      <c r="F38" s="24"/>
      <c r="G38" s="24"/>
      <c r="H38" s="23"/>
      <c r="I38" s="23"/>
      <c r="J38" s="23"/>
      <c r="K38" s="23"/>
      <c r="L38" s="23"/>
      <c r="M38" s="23"/>
      <c r="N38" s="47"/>
      <c r="X38" s="44"/>
    </row>
    <row r="39" spans="1:24" ht="17.25" hidden="1" customHeight="1" x14ac:dyDescent="0.25">
      <c r="D39" s="1"/>
      <c r="E39" s="6"/>
      <c r="F39" s="6"/>
      <c r="G39" s="6"/>
      <c r="H39" s="1"/>
      <c r="I39" s="1"/>
      <c r="J39" s="1"/>
      <c r="K39" s="1"/>
      <c r="L39" s="1"/>
      <c r="M39" s="1"/>
      <c r="N39" s="46"/>
    </row>
    <row r="40" spans="1:24" ht="17.25" hidden="1" customHeight="1" x14ac:dyDescent="0.25">
      <c r="A40" s="2" t="s">
        <v>155</v>
      </c>
      <c r="B40" s="22" t="e">
        <f>(((B26-25)*(B33/100))+1)*B34</f>
        <v>#N/A</v>
      </c>
      <c r="D40" s="1"/>
      <c r="E40" s="6"/>
      <c r="F40" s="6"/>
      <c r="G40" s="6"/>
      <c r="H40" s="1"/>
      <c r="I40" s="1"/>
      <c r="J40" s="1"/>
      <c r="K40" s="1"/>
      <c r="L40" s="1"/>
      <c r="M40" s="1"/>
      <c r="N40" s="46"/>
    </row>
    <row r="41" spans="1:24" ht="17.25" hidden="1" customHeight="1" x14ac:dyDescent="0.25">
      <c r="A41" s="2" t="s">
        <v>19</v>
      </c>
      <c r="B41" s="22" t="e">
        <f>(((B27-25)*(B33/100))+1)*B34</f>
        <v>#N/A</v>
      </c>
    </row>
    <row r="42" spans="1:24" ht="17.25" hidden="1" customHeight="1" x14ac:dyDescent="0.25">
      <c r="A42" s="3" t="s">
        <v>100</v>
      </c>
      <c r="B42" s="22" t="e">
        <f>(((B25-25)*(B31/100))+1)*B35</f>
        <v>#N/A</v>
      </c>
    </row>
    <row r="43" spans="1:24" ht="17.25" hidden="1" customHeight="1" x14ac:dyDescent="0.25">
      <c r="A43" s="3" t="s">
        <v>20</v>
      </c>
      <c r="B43" s="22" t="e">
        <f>((((B26-25)*(B32/100))+1)*B36)</f>
        <v>#N/A</v>
      </c>
    </row>
    <row r="44" spans="1:24" ht="17.25" hidden="1" customHeight="1" x14ac:dyDescent="0.25">
      <c r="A44" s="3" t="s">
        <v>21</v>
      </c>
      <c r="B44" s="22" t="e">
        <f>(((B26-25)*(B32/100))+1)*B37</f>
        <v>#N/A</v>
      </c>
    </row>
    <row r="45" spans="1:24" ht="17.25" hidden="1" customHeight="1" x14ac:dyDescent="0.25">
      <c r="A45" s="3" t="s">
        <v>22</v>
      </c>
      <c r="B45" s="22" t="e">
        <f>(((B26-25)*(B33/100))+1)*B30</f>
        <v>#N/A</v>
      </c>
    </row>
    <row r="46" spans="1:24" ht="17.25" hidden="1" customHeight="1" x14ac:dyDescent="0.25">
      <c r="A46" s="3" t="s">
        <v>23</v>
      </c>
      <c r="B46" s="22" t="e">
        <f>B52*B42</f>
        <v>#N/A</v>
      </c>
    </row>
    <row r="47" spans="1:24" s="43" customFormat="1" ht="17.25" hidden="1" customHeight="1" x14ac:dyDescent="0.25">
      <c r="A47" s="60" t="s">
        <v>24</v>
      </c>
      <c r="B47" s="62" t="e">
        <f>B41*B52</f>
        <v>#N/A</v>
      </c>
      <c r="C47" s="48"/>
    </row>
    <row r="48" spans="1:24" s="19" customFormat="1" ht="17.25" customHeight="1" x14ac:dyDescent="0.25">
      <c r="A48" s="25"/>
      <c r="B48" s="26"/>
      <c r="C48" s="27"/>
      <c r="N48" s="44"/>
      <c r="X48" s="44"/>
    </row>
    <row r="49" spans="1:20" ht="17.25" customHeight="1" x14ac:dyDescent="0.25">
      <c r="B49" s="22"/>
      <c r="C49" s="17"/>
    </row>
    <row r="50" spans="1:20" ht="17.25" customHeight="1" x14ac:dyDescent="0.3">
      <c r="A50" s="15" t="s">
        <v>141</v>
      </c>
      <c r="B50" s="22"/>
      <c r="C50" s="17"/>
    </row>
    <row r="51" spans="1:20" ht="17.25" customHeight="1" x14ac:dyDescent="0.25">
      <c r="A51" s="3" t="s">
        <v>83</v>
      </c>
      <c r="B51" s="28" t="e">
        <f>IF(R52&gt;R53,R52,R53)</f>
        <v>#N/A</v>
      </c>
      <c r="C51" s="17"/>
      <c r="O51" s="52" t="s">
        <v>102</v>
      </c>
    </row>
    <row r="52" spans="1:20" ht="17.25" customHeight="1" x14ac:dyDescent="0.25">
      <c r="A52" s="41" t="s">
        <v>124</v>
      </c>
      <c r="B52" s="29" t="e">
        <f>ROUNDDOWN(B9/B42,0)</f>
        <v>#N/A</v>
      </c>
      <c r="O52" s="21" t="s">
        <v>122</v>
      </c>
      <c r="P52" s="5" t="e">
        <f>HLOOKUP($B$4,INVERSORES!4:24,5,0)</f>
        <v>#N/A</v>
      </c>
      <c r="Q52" t="s">
        <v>103</v>
      </c>
      <c r="R52" s="5" t="e">
        <f>ROUNDUP(P52/B35,0)</f>
        <v>#N/A</v>
      </c>
    </row>
    <row r="53" spans="1:20" ht="17.25" customHeight="1" x14ac:dyDescent="0.25">
      <c r="A53" s="3" t="s">
        <v>434</v>
      </c>
      <c r="B53" s="28" t="e">
        <f>ROUNDDOWN((B8*1000)/B30,0)</f>
        <v>#N/A</v>
      </c>
      <c r="O53" s="21" t="s">
        <v>123</v>
      </c>
      <c r="P53" s="5" t="e">
        <f>HLOOKUP($B$4,INVERSORES!4:24,5,0)</f>
        <v>#N/A</v>
      </c>
      <c r="Q53" t="s">
        <v>104</v>
      </c>
      <c r="R53" s="5" t="e">
        <f>ROUNDUP(P53/B40,0)</f>
        <v>#N/A</v>
      </c>
    </row>
    <row r="54" spans="1:20" ht="17.25" hidden="1" customHeight="1" x14ac:dyDescent="0.25">
      <c r="A54" s="3" t="s">
        <v>154</v>
      </c>
      <c r="B54" s="30" t="e">
        <f>B53/SUM(Q8:Q13)</f>
        <v>#N/A</v>
      </c>
      <c r="C54" s="63"/>
      <c r="O54" s="21"/>
      <c r="P54" s="5"/>
      <c r="R54" s="5"/>
    </row>
    <row r="55" spans="1:20" ht="17.25" hidden="1" customHeight="1" x14ac:dyDescent="0.25">
      <c r="A55" s="3" t="s">
        <v>140</v>
      </c>
      <c r="B55" s="28" t="e">
        <f>ROUND(B13/B41,0)</f>
        <v>#N/A</v>
      </c>
    </row>
    <row r="56" spans="1:20" ht="17.25" customHeight="1" x14ac:dyDescent="0.25">
      <c r="B56" s="30"/>
      <c r="H56" s="17" t="e">
        <f>IF((O60+P60+Q60+R60+S60+T60)&gt;B14,"QUANTIDADE DE MPPTs ACIMA DA CAPACIDADE DO INVERSOR","")</f>
        <v>#N/A</v>
      </c>
    </row>
    <row r="57" spans="1:20" ht="17.25" customHeight="1" x14ac:dyDescent="0.25">
      <c r="A57" s="84" t="s">
        <v>225</v>
      </c>
      <c r="B57" s="99" t="s">
        <v>442</v>
      </c>
      <c r="G57" s="17"/>
      <c r="H57" s="17" t="str">
        <f>IF(OR(B63="ACIMA",C63="ACIMA",D63="ACIMA",E63="ACIMA"),"MPPT(S) COM MAIS STRINGS QUE O SUPORTADO","")</f>
        <v/>
      </c>
    </row>
    <row r="58" spans="1:20" ht="17.25" customHeight="1" x14ac:dyDescent="0.25">
      <c r="A58" s="2" t="s">
        <v>72</v>
      </c>
      <c r="B58" s="31" t="e">
        <f>IF(OR($B$14=1,$B$14=2,$B$14=3,$B$14=4,$B$14=5,$B$14=6),1,"N/A")</f>
        <v>#N/A</v>
      </c>
      <c r="C58" s="31" t="e">
        <f>IF(OR($B$14=2,$B$14=3,$B$14=4,$B$14=5,$B$14=6),2,"N/A")</f>
        <v>#N/A</v>
      </c>
      <c r="D58" s="31" t="e">
        <f>IF(OR($B$14=3,$B$14=4,$B$14=5,$B$14=6),3,"N/A")</f>
        <v>#N/A</v>
      </c>
      <c r="E58" s="31" t="e">
        <f>IF(OR($B$14=4,$B$14=5,$B$14=6),4,"N/A")</f>
        <v>#N/A</v>
      </c>
      <c r="F58" s="31" t="e">
        <f>IF(OR($B$14=5,$B$14=6),5,"N/A")</f>
        <v>#N/A</v>
      </c>
      <c r="G58" s="31" t="e">
        <f>IF($B$14=6,6,"N/A")</f>
        <v>#N/A</v>
      </c>
      <c r="I58" s="64" t="str">
        <f>CONCATENATE("Módulo ",B20)</f>
        <v xml:space="preserve">Módulo </v>
      </c>
    </row>
    <row r="59" spans="1:20" ht="17.25" customHeight="1" x14ac:dyDescent="0.25">
      <c r="A59" s="3" t="s">
        <v>25</v>
      </c>
      <c r="B59" s="9"/>
      <c r="C59" s="9"/>
      <c r="D59" s="9"/>
      <c r="E59" s="9"/>
      <c r="F59" s="9"/>
      <c r="G59" s="9"/>
      <c r="H59" s="14"/>
      <c r="I59" s="65" t="str">
        <f>CONCATENATE("Inversor ",B4)</f>
        <v xml:space="preserve">Inversor </v>
      </c>
      <c r="K59" s="16"/>
      <c r="O59" s="52" t="s">
        <v>126</v>
      </c>
    </row>
    <row r="60" spans="1:20" ht="17.25" customHeight="1" x14ac:dyDescent="0.25">
      <c r="A60" s="3" t="s">
        <v>26</v>
      </c>
      <c r="B60" s="9"/>
      <c r="C60" s="9"/>
      <c r="D60" s="9"/>
      <c r="E60" s="9"/>
      <c r="F60" s="9"/>
      <c r="G60" s="9"/>
      <c r="H60" s="14"/>
      <c r="O60">
        <f t="shared" ref="O60:T63" si="0">IF(ISNUMBER(B59),1,0)</f>
        <v>0</v>
      </c>
      <c r="P60">
        <f t="shared" si="0"/>
        <v>0</v>
      </c>
      <c r="Q60">
        <f t="shared" si="0"/>
        <v>0</v>
      </c>
      <c r="R60">
        <f t="shared" si="0"/>
        <v>0</v>
      </c>
      <c r="S60">
        <f t="shared" si="0"/>
        <v>0</v>
      </c>
      <c r="T60">
        <f t="shared" si="0"/>
        <v>0</v>
      </c>
    </row>
    <row r="61" spans="1:20" ht="17.25" customHeight="1" x14ac:dyDescent="0.25">
      <c r="A61" s="3" t="s">
        <v>29</v>
      </c>
      <c r="B61" s="9"/>
      <c r="C61" s="9"/>
      <c r="D61" s="9"/>
      <c r="E61" s="9"/>
      <c r="F61" s="9"/>
      <c r="G61" s="9"/>
      <c r="H61" s="14"/>
      <c r="I61" s="66" t="s">
        <v>27</v>
      </c>
      <c r="J61" s="66" t="s">
        <v>28</v>
      </c>
      <c r="K61" s="66" t="s">
        <v>437</v>
      </c>
      <c r="L61" s="101" t="s">
        <v>439</v>
      </c>
      <c r="O61">
        <f t="shared" si="0"/>
        <v>0</v>
      </c>
      <c r="P61">
        <f t="shared" si="0"/>
        <v>0</v>
      </c>
      <c r="Q61">
        <f t="shared" si="0"/>
        <v>0</v>
      </c>
      <c r="R61">
        <f t="shared" si="0"/>
        <v>0</v>
      </c>
      <c r="S61">
        <f t="shared" si="0"/>
        <v>0</v>
      </c>
      <c r="T61">
        <f t="shared" si="0"/>
        <v>0</v>
      </c>
    </row>
    <row r="62" spans="1:20" ht="17.25" customHeight="1" x14ac:dyDescent="0.25">
      <c r="A62" s="3" t="s">
        <v>30</v>
      </c>
      <c r="B62" s="9"/>
      <c r="C62" s="9"/>
      <c r="D62" s="9"/>
      <c r="E62" s="9"/>
      <c r="F62" s="9"/>
      <c r="G62" s="9"/>
      <c r="H62" s="14"/>
      <c r="I62" s="66">
        <f>SUM(B59:G62)</f>
        <v>0</v>
      </c>
      <c r="J62" s="66" t="e">
        <f>(I62*B30)/1000</f>
        <v>#N/A</v>
      </c>
      <c r="K62" s="67" t="e">
        <f>J62/B7</f>
        <v>#N/A</v>
      </c>
      <c r="L62" s="102" t="e">
        <f>B85</f>
        <v>#N/A</v>
      </c>
      <c r="O62">
        <f t="shared" si="0"/>
        <v>0</v>
      </c>
      <c r="P62">
        <f t="shared" si="0"/>
        <v>0</v>
      </c>
      <c r="Q62">
        <f t="shared" si="0"/>
        <v>0</v>
      </c>
      <c r="R62">
        <f t="shared" si="0"/>
        <v>0</v>
      </c>
      <c r="S62">
        <f t="shared" si="0"/>
        <v>0</v>
      </c>
      <c r="T62">
        <f t="shared" si="0"/>
        <v>0</v>
      </c>
    </row>
    <row r="63" spans="1:20" ht="17.25" customHeight="1" x14ac:dyDescent="0.25">
      <c r="A63" s="3" t="s">
        <v>444</v>
      </c>
      <c r="B63" s="31" t="str">
        <f>IF(B59="","",IF(SUM(O60:O63)&lt;=Q8,"OK","ACIMA"))</f>
        <v/>
      </c>
      <c r="C63" s="31" t="str">
        <f>IF(C59="","",IF(SUM(P60:P63)&lt;=Q9,"OK","ACIMA"))</f>
        <v/>
      </c>
      <c r="D63" s="31" t="str">
        <f>IF(D59="","",IF(SUM(Q60:Q63)&lt;=Q10,"OK","ACIMA"))</f>
        <v/>
      </c>
      <c r="E63" s="31" t="str">
        <f>IF(E59="","",IF(SUM(R60:R63)&lt;=Q11,"OK","ACIMA"))</f>
        <v/>
      </c>
      <c r="F63" s="31" t="str">
        <f>IF(F59="","",IF(SUM(S60:S63)&lt;=Q12,"OK","ACIMA"))</f>
        <v/>
      </c>
      <c r="G63" s="31" t="str">
        <f>IF(G59="","",IF(SUM(T60:T63)&lt;=Q13,"OK","ACIMA"))</f>
        <v/>
      </c>
      <c r="I63" s="31" t="e">
        <f>IF(I62&gt;B53, "ACIMA","")</f>
        <v>#N/A</v>
      </c>
      <c r="K63" s="16" t="e">
        <f>IF(B86&gt;B85,"RELAÇÃO CC/CA ACIMA DA RECOMENDAÇÃO DO FABRICANTE","RELAÇÃO CC/CA DENTRO DO PERMITIDO")</f>
        <v>#N/A</v>
      </c>
      <c r="O63">
        <f t="shared" si="0"/>
        <v>0</v>
      </c>
      <c r="P63">
        <f t="shared" si="0"/>
        <v>0</v>
      </c>
      <c r="Q63">
        <f t="shared" si="0"/>
        <v>0</v>
      </c>
      <c r="R63">
        <f t="shared" si="0"/>
        <v>0</v>
      </c>
      <c r="S63">
        <f t="shared" si="0"/>
        <v>0</v>
      </c>
      <c r="T63">
        <f t="shared" si="0"/>
        <v>0</v>
      </c>
    </row>
    <row r="64" spans="1:20" ht="17.25" customHeight="1" x14ac:dyDescent="0.25">
      <c r="A64" s="3" t="s">
        <v>446</v>
      </c>
      <c r="B64" s="32" t="str">
        <f>IF(B59="","",IF(ISNUMBER(B62),IF(AND(B62=B61,B62=B60,B62=B59),"OK","ERRO"),IF(ISNUMBER(B61),IF(AND(B61=B60,B61=B59),"OK","ERRO"),IF(ISNUMBER(B60),IF(B60=B59,"OK","ERRO"),"OK"))))</f>
        <v/>
      </c>
      <c r="C64" s="32" t="str">
        <f>IF(C59="","",IF(ISNUMBER(C62),IF(AND(C62=C61,C62=C60,C62=C59),"OK","ERRO"),IF(ISNUMBER(C61),IF(AND(C61=C60,C61=C59),"OK","ERRO"),IF(ISNUMBER(C60),IF(C60=C59,"OK","ERRO"),"OK"))))</f>
        <v/>
      </c>
      <c r="D64" s="32" t="str">
        <f>IF(D59="","",IF(ISNUMBER(D62),IF(AND(D62=D61,D62=D60,D62=D59),"OK","ERRO"),IF(ISNUMBER(D61),IF(AND(D61=D60,D61=D59),"OK","ERRO"),IF(ISNUMBER(D60),IF(D60=D59,"OK","ERRO"),"OK"))))</f>
        <v/>
      </c>
      <c r="E64" s="32" t="str">
        <f>IF(E59="","",IF(ISNUMBER(E62),IF(AND(E62=E61,E62=E60,E62=E59),"OK","ERRO"),IF(ISNUMBER(E61),IF(AND(E61=E60,E61=E59),"OK","ERRO"),IF(ISNUMBER(E60),IF(E60=E59,"OK","ERRO"),"OK"))))</f>
        <v/>
      </c>
      <c r="F64" s="32" t="str">
        <f t="shared" ref="F64:G64" si="1">IF(F59="","",IF(ISNUMBER(F62),IF(AND(F62=F61,F62=F60,F62=F59),"OK","ERRO"),IF(ISNUMBER(F61),IF(AND(F61=F60,F61=F59),"OK","ERRO"),IF(ISNUMBER(F60),IF(F60=F59,"OK","ERRO"),"OK"))))</f>
        <v/>
      </c>
      <c r="G64" s="32" t="str">
        <f t="shared" si="1"/>
        <v/>
      </c>
      <c r="H64" s="17" t="str">
        <f>IF(OR(B64="ERRO",C64="ERRO",D64="ERRO",E64="ERRO"),"STRING(S) COM NÚMERO DIFERENTE DE MÓDULOS","")</f>
        <v/>
      </c>
      <c r="I64" s="34"/>
      <c r="M64" s="16" t="e">
        <f>IF(B86&gt;B85,"POSSÍVEL VETO DE GARANTIA","")</f>
        <v>#N/A</v>
      </c>
    </row>
    <row r="65" spans="1:20" ht="17.25" customHeight="1" x14ac:dyDescent="0.25">
      <c r="A65" s="3" t="s">
        <v>449</v>
      </c>
      <c r="B65" s="5" t="str">
        <f>IF(B59="","",SUM(B59:B62))</f>
        <v/>
      </c>
      <c r="C65" s="5" t="str">
        <f>IF(C59="","",SUM(C59:C62))</f>
        <v/>
      </c>
      <c r="D65" s="5" t="str">
        <f>IF(D59="","",SUM(D59:D62))</f>
        <v/>
      </c>
      <c r="E65" s="5" t="str">
        <f>IF(E59="","",SUM(E59:E62))</f>
        <v/>
      </c>
      <c r="F65" s="5" t="str">
        <f t="shared" ref="F65:G65" si="2">IF(F59="","",SUM(F59:F62))</f>
        <v/>
      </c>
      <c r="G65" s="5" t="str">
        <f t="shared" si="2"/>
        <v/>
      </c>
      <c r="I65" s="107" t="s">
        <v>348</v>
      </c>
      <c r="S65" s="53" t="s">
        <v>127</v>
      </c>
      <c r="T65" s="1" t="e">
        <f>IF(LARGE(B74:E74,1)&gt;900,CONCATENATE("STB.",(O60+O61+O62+O63+P60+P61+P62+P63+Q60+Q61+Q62+Q63+R60+R61+R62+R63),"E",(O60+P60+Q60+R60),"S.1000Vcc"),IF(LARGE(B74:E74,1)&gt;600,CONCATENATE("STB.",(O60+O61+O62+O63+P60+P61+P62+P63+Q60+Q61+Q62+Q63+R60+R61+R62+R63),"E",(O60+P60+Q60+R60),"S.900Vcc"),IF(LARGE(B74:E74,1)&gt;500,CONCATENATE("STB.",(O60+O61+O62+O63+P60+P61+P62+P63+Q60+Q61+Q62+Q63+R60+R61+R62+R63),"E",(O60+P60+Q60+R60),"S.600Vcc"),CONCATENATE("STB.",(O60+O61+O62+O63+P60+P61+P62+P63+Q60+Q61+Q62+Q63+R60+R61+R62+R63),"E",(O60+P60+Q60+R60),"S.500Vcc"))))</f>
        <v>#NUM!</v>
      </c>
    </row>
    <row r="66" spans="1:20" ht="17.25" customHeight="1" x14ac:dyDescent="0.25">
      <c r="A66" s="3" t="s">
        <v>294</v>
      </c>
      <c r="B66" s="5" t="str">
        <f t="shared" ref="B66:G66" si="3">IF(ISNUMBER(B58),ROUNDDOWN((B67*1000)/$B$30,0),"")</f>
        <v/>
      </c>
      <c r="C66" s="5" t="str">
        <f t="shared" si="3"/>
        <v/>
      </c>
      <c r="D66" s="5" t="str">
        <f t="shared" si="3"/>
        <v/>
      </c>
      <c r="E66" s="5" t="str">
        <f t="shared" si="3"/>
        <v/>
      </c>
      <c r="F66" s="5" t="str">
        <f t="shared" si="3"/>
        <v/>
      </c>
      <c r="G66" s="5" t="str">
        <f t="shared" si="3"/>
        <v/>
      </c>
      <c r="I66" t="s">
        <v>454</v>
      </c>
      <c r="S66" s="53"/>
      <c r="T66" s="1"/>
    </row>
    <row r="67" spans="1:20" ht="17.25" customHeight="1" x14ac:dyDescent="0.25">
      <c r="A67" s="3" t="s">
        <v>244</v>
      </c>
      <c r="B67" s="35" t="str">
        <f>IF(ISNUMBER(B58),($B$8/(SUM($Q$8:$Q$13))*Q8)*1.15,"")</f>
        <v/>
      </c>
      <c r="C67" s="35" t="str">
        <f>IF(ISNUMBER(C58),($B$8/(SUM($Q$8:$Q$13))*Q9)*1.15,"")</f>
        <v/>
      </c>
      <c r="D67" s="35" t="str">
        <f>IF(ISNUMBER(D58),($B$8/(SUM($Q$8:$Q$13))*Q10)*1.15,"")</f>
        <v/>
      </c>
      <c r="E67" s="35" t="str">
        <f>IF(ISNUMBER(E58),($B$8/(SUM($Q$8:$Q$13))*Q11)*1.15,"")</f>
        <v/>
      </c>
      <c r="F67" s="35" t="str">
        <f>IF(ISNUMBER(F58),($B$8/(SUM($Q$8:$Q$13))*Q12)*1.15,"")</f>
        <v/>
      </c>
      <c r="G67" s="35" t="str">
        <f>IF(ISNUMBER(G58),($B$8/(SUM($Q$8:$Q$13))*Q13)*1.15,"")</f>
        <v/>
      </c>
      <c r="I67" t="s">
        <v>359</v>
      </c>
      <c r="S67" s="53"/>
      <c r="T67" s="1"/>
    </row>
    <row r="68" spans="1:20" ht="17.25" customHeight="1" x14ac:dyDescent="0.25">
      <c r="A68" s="3" t="s">
        <v>31</v>
      </c>
      <c r="B68" s="5" t="str">
        <f t="shared" ref="B68:G68" si="4">IF(B59="","",((SUM(B59:B62)*$B$30)/1000))</f>
        <v/>
      </c>
      <c r="C68" s="5" t="str">
        <f t="shared" si="4"/>
        <v/>
      </c>
      <c r="D68" s="5" t="str">
        <f t="shared" si="4"/>
        <v/>
      </c>
      <c r="E68" s="5" t="str">
        <f t="shared" si="4"/>
        <v/>
      </c>
      <c r="F68" s="5" t="str">
        <f t="shared" si="4"/>
        <v/>
      </c>
      <c r="G68" s="5" t="str">
        <f t="shared" si="4"/>
        <v/>
      </c>
      <c r="H68" s="32"/>
      <c r="I68" s="32"/>
      <c r="J68" s="33"/>
      <c r="S68" s="53" t="s">
        <v>128</v>
      </c>
      <c r="T68" s="14">
        <f>SUM(O60:T63)</f>
        <v>0</v>
      </c>
    </row>
    <row r="69" spans="1:20" ht="17.25" customHeight="1" x14ac:dyDescent="0.25">
      <c r="A69" s="3" t="s">
        <v>159</v>
      </c>
      <c r="B69" s="104" t="str">
        <f t="shared" ref="B69:G69" si="5">IF(B59="","",IF(B68&gt;B67,"ACIMA","OK"))</f>
        <v/>
      </c>
      <c r="C69" s="105" t="str">
        <f t="shared" si="5"/>
        <v/>
      </c>
      <c r="D69" s="105" t="str">
        <f t="shared" si="5"/>
        <v/>
      </c>
      <c r="E69" s="105" t="str">
        <f t="shared" si="5"/>
        <v/>
      </c>
      <c r="F69" s="105" t="str">
        <f t="shared" si="5"/>
        <v/>
      </c>
      <c r="G69" s="105" t="str">
        <f t="shared" si="5"/>
        <v/>
      </c>
      <c r="H69" s="5"/>
      <c r="I69" s="107" t="s">
        <v>348</v>
      </c>
      <c r="J69" s="33"/>
      <c r="N69"/>
      <c r="S69" s="53"/>
      <c r="T69" s="14"/>
    </row>
    <row r="70" spans="1:20" ht="17.25" customHeight="1" x14ac:dyDescent="0.25">
      <c r="A70" s="3" t="s">
        <v>156</v>
      </c>
      <c r="B70" s="35" t="str">
        <f t="shared" ref="B70:G70" si="6">IF(B65="","",B59*$B$40)</f>
        <v/>
      </c>
      <c r="C70" s="35" t="str">
        <f t="shared" si="6"/>
        <v/>
      </c>
      <c r="D70" s="35" t="str">
        <f t="shared" si="6"/>
        <v/>
      </c>
      <c r="E70" s="35" t="str">
        <f t="shared" si="6"/>
        <v/>
      </c>
      <c r="F70" s="35" t="str">
        <f t="shared" si="6"/>
        <v/>
      </c>
      <c r="G70" s="35" t="str">
        <f t="shared" si="6"/>
        <v/>
      </c>
      <c r="I70" t="s">
        <v>456</v>
      </c>
      <c r="S70" s="53" t="s">
        <v>129</v>
      </c>
      <c r="T70" s="14">
        <f>O60+P60+Q60+R60+S60+T60</f>
        <v>0</v>
      </c>
    </row>
    <row r="71" spans="1:20" ht="17.25" customHeight="1" x14ac:dyDescent="0.25">
      <c r="A71" s="3" t="s">
        <v>157</v>
      </c>
      <c r="B71" s="35" t="str">
        <f t="shared" ref="B71:G71" si="7">IF(B65="","",B59*$B$41)</f>
        <v/>
      </c>
      <c r="C71" s="35" t="str">
        <f t="shared" si="7"/>
        <v/>
      </c>
      <c r="D71" s="35" t="str">
        <f t="shared" si="7"/>
        <v/>
      </c>
      <c r="E71" s="35" t="str">
        <f t="shared" si="7"/>
        <v/>
      </c>
      <c r="F71" s="35" t="str">
        <f t="shared" si="7"/>
        <v/>
      </c>
      <c r="G71" s="35" t="str">
        <f t="shared" si="7"/>
        <v/>
      </c>
      <c r="I71" t="s">
        <v>452</v>
      </c>
      <c r="S71" s="53"/>
      <c r="T71" s="14"/>
    </row>
    <row r="72" spans="1:20" ht="17.25" customHeight="1" x14ac:dyDescent="0.25">
      <c r="A72" s="3" t="s">
        <v>159</v>
      </c>
      <c r="B72" s="36" t="str">
        <f t="shared" ref="B72:G72" si="8">IF(B70="","",IF(B59&lt;$B$51,"+MÓD",IF(B70&gt;$B$12,"ACIMA","OK")))</f>
        <v/>
      </c>
      <c r="C72" s="36" t="str">
        <f t="shared" si="8"/>
        <v/>
      </c>
      <c r="D72" s="36" t="str">
        <f t="shared" si="8"/>
        <v/>
      </c>
      <c r="E72" s="36" t="str">
        <f t="shared" si="8"/>
        <v/>
      </c>
      <c r="F72" s="36" t="str">
        <f t="shared" si="8"/>
        <v/>
      </c>
      <c r="G72" s="36" t="str">
        <f t="shared" si="8"/>
        <v/>
      </c>
      <c r="H72" s="17"/>
      <c r="I72" t="s">
        <v>453</v>
      </c>
      <c r="S72" s="53" t="s">
        <v>131</v>
      </c>
      <c r="T72" s="14" t="e">
        <f>IF(LARGE(B74:E74,1)&gt;900,1000,IF(LARGE(B74:E74,1)&gt;800,900,IF(LARGE(B74:E74,1)&gt;600,800,IF(LARGE(B74:E74,1)&gt;500,600,500))))</f>
        <v>#NUM!</v>
      </c>
    </row>
    <row r="73" spans="1:20" ht="17.25" hidden="1" customHeight="1" x14ac:dyDescent="0.25">
      <c r="A73" s="3" t="s">
        <v>158</v>
      </c>
      <c r="B73" s="36" t="str">
        <f t="shared" ref="B73:G73" si="9">IFERROR(IF(B65="","",IF(B71/$B$13&gt;1,$B$13/B71,B71/$B$13)),"N/A")</f>
        <v/>
      </c>
      <c r="C73" s="36" t="str">
        <f t="shared" si="9"/>
        <v/>
      </c>
      <c r="D73" s="36" t="str">
        <f t="shared" si="9"/>
        <v/>
      </c>
      <c r="E73" s="36" t="str">
        <f t="shared" si="9"/>
        <v/>
      </c>
      <c r="F73" s="36" t="str">
        <f t="shared" si="9"/>
        <v/>
      </c>
      <c r="G73" s="36" t="str">
        <f t="shared" si="9"/>
        <v/>
      </c>
      <c r="H73" s="17"/>
      <c r="Q73" s="51" t="s">
        <v>130</v>
      </c>
    </row>
    <row r="74" spans="1:20" ht="17.25" customHeight="1" x14ac:dyDescent="0.25">
      <c r="A74" s="3" t="s">
        <v>450</v>
      </c>
      <c r="B74" s="35" t="str">
        <f t="shared" ref="B74:G74" si="10">IF(B65="","",B59*$B$42)</f>
        <v/>
      </c>
      <c r="C74" s="35" t="str">
        <f t="shared" si="10"/>
        <v/>
      </c>
      <c r="D74" s="35" t="str">
        <f t="shared" si="10"/>
        <v/>
      </c>
      <c r="E74" s="35" t="str">
        <f t="shared" si="10"/>
        <v/>
      </c>
      <c r="F74" s="35" t="str">
        <f t="shared" si="10"/>
        <v/>
      </c>
      <c r="G74" s="35" t="str">
        <f t="shared" si="10"/>
        <v/>
      </c>
      <c r="H74" s="17"/>
      <c r="I74" t="s">
        <v>457</v>
      </c>
      <c r="N74" s="7"/>
      <c r="Q74" s="55" t="e">
        <f>IF(T65="STB.6E2S.900Vcc","STB.6E2S.1000Vcc",IF(T65="STB.8E4S.900Vcc","STB.8E4S.1000Vcc",IF(T65="STB.9E3S.900Vcc","STB.9E3S.1000Vcc",IF(T65="STB.12E4S.900Vcc","STB.12E4S.1000Vcc",T65))))</f>
        <v>#NUM!</v>
      </c>
      <c r="R74" s="11" t="e">
        <f>IF(OR(Q74="STB.6E2S.1000Vcc",Q74="STB.8E4S.1000Vcc",Q74="STB.9E3S.1000Vcc",Q74="STB.12E4S.1000Vcc"),"(ProAuto)","---")</f>
        <v>#NUM!</v>
      </c>
    </row>
    <row r="75" spans="1:20" ht="17.25" customHeight="1" x14ac:dyDescent="0.25">
      <c r="A75" s="3" t="s">
        <v>159</v>
      </c>
      <c r="B75" s="36" t="str">
        <f>IF(B74="","",IF(B74&gt;$B$9,"ACIMA","OK"))</f>
        <v/>
      </c>
      <c r="C75" s="36" t="str">
        <f t="shared" ref="C75:E75" si="11">IF(C74="","",IF(C74&gt;$B$9,"ACIMA","OK"))</f>
        <v/>
      </c>
      <c r="D75" s="36" t="str">
        <f t="shared" si="11"/>
        <v/>
      </c>
      <c r="E75" s="36" t="str">
        <f t="shared" si="11"/>
        <v/>
      </c>
      <c r="F75" s="36" t="str">
        <f t="shared" ref="F75:G75" si="12">IF(F74="","",IF(F74&gt;$B$9,"ACIMA","OK"))</f>
        <v/>
      </c>
      <c r="G75" s="36" t="str">
        <f t="shared" si="12"/>
        <v/>
      </c>
      <c r="H75" s="17"/>
      <c r="I75" t="s">
        <v>455</v>
      </c>
      <c r="N75" s="7"/>
    </row>
    <row r="76" spans="1:20" ht="17.25" customHeight="1" x14ac:dyDescent="0.25">
      <c r="A76" s="3" t="s">
        <v>139</v>
      </c>
      <c r="B76" s="35" t="str">
        <f t="shared" ref="B76:G76" si="13">IF(B65="","",(O60+O61+O62+O63)*$B$43)</f>
        <v/>
      </c>
      <c r="C76" s="35" t="str">
        <f t="shared" si="13"/>
        <v/>
      </c>
      <c r="D76" s="35" t="str">
        <f t="shared" si="13"/>
        <v/>
      </c>
      <c r="E76" s="35" t="str">
        <f t="shared" si="13"/>
        <v/>
      </c>
      <c r="F76" s="35" t="str">
        <f t="shared" si="13"/>
        <v/>
      </c>
      <c r="G76" s="35" t="str">
        <f t="shared" si="13"/>
        <v/>
      </c>
      <c r="H76" s="17"/>
      <c r="I76" t="s">
        <v>474</v>
      </c>
      <c r="N76" s="7"/>
    </row>
    <row r="77" spans="1:20" ht="17.25" customHeight="1" x14ac:dyDescent="0.25">
      <c r="A77" s="3" t="s">
        <v>159</v>
      </c>
      <c r="B77" s="86" t="str">
        <f>IF(B78="","",IF(B76&gt;T8,"Ver obs.2","OK"))</f>
        <v/>
      </c>
      <c r="C77" s="86" t="str">
        <f>IF(C78="","",IF(C76&gt;T9,"Ver obs.2","OK"))</f>
        <v/>
      </c>
      <c r="D77" s="86" t="str">
        <f>IF(D78="","",IF(D76&gt;T10,"Ver obs.2","OK"))</f>
        <v/>
      </c>
      <c r="E77" s="86" t="str">
        <f>IF(E78="","",IF(E76&gt;T11,"Ver obs.2","OK"))</f>
        <v/>
      </c>
      <c r="F77" s="86" t="str">
        <f>IF(F78="","",IF(F76&gt;T12,"Ver obs.2","OK"))</f>
        <v/>
      </c>
      <c r="G77" s="86" t="str">
        <f>IF(G78="","",IF(G76&gt;T13,"Ver obs.2","OK"))</f>
        <v/>
      </c>
      <c r="H77" s="17"/>
      <c r="I77" t="s">
        <v>475</v>
      </c>
      <c r="N77" s="7"/>
    </row>
    <row r="78" spans="1:20" ht="17.25" customHeight="1" x14ac:dyDescent="0.25">
      <c r="A78" s="3" t="s">
        <v>214</v>
      </c>
      <c r="B78" s="37" t="str">
        <f t="shared" ref="B78:G78" si="14">IF(B65="","",(O60+O61+O62+O63)*$B$44)</f>
        <v/>
      </c>
      <c r="C78" s="37" t="str">
        <f t="shared" si="14"/>
        <v/>
      </c>
      <c r="D78" s="37" t="str">
        <f t="shared" si="14"/>
        <v/>
      </c>
      <c r="E78" s="37" t="str">
        <f t="shared" si="14"/>
        <v/>
      </c>
      <c r="F78" s="37" t="str">
        <f t="shared" si="14"/>
        <v/>
      </c>
      <c r="G78" s="37" t="str">
        <f t="shared" si="14"/>
        <v/>
      </c>
      <c r="H78" s="17"/>
      <c r="I78" t="s">
        <v>495</v>
      </c>
      <c r="N78" s="7"/>
    </row>
    <row r="79" spans="1:20" ht="17.25" customHeight="1" x14ac:dyDescent="0.25">
      <c r="A79" s="3" t="s">
        <v>159</v>
      </c>
      <c r="B79" s="38" t="str">
        <f>IF(B78="","",IF(V14=0,"N/A",IF(B78&gt;W8,"ACIMA","OK")))</f>
        <v/>
      </c>
      <c r="C79" s="39" t="str">
        <f>IF(C78="","",IF(V14=0,"N/A",IF(C78&gt;W9,"ACIMA","OK")))</f>
        <v/>
      </c>
      <c r="D79" s="39" t="str">
        <f>IF(D78="","",IF(V14=0,"N/A",IF(D78&gt;W10,"ACIMA","OK")))</f>
        <v/>
      </c>
      <c r="E79" s="39" t="str">
        <f>IF(E78="","",IF(V14=0,"N/A",IF(E78&gt;W11,"ACIMA","OK")))</f>
        <v/>
      </c>
      <c r="F79" s="39" t="str">
        <f>IF(F78="","",IF(V14=0,"N/A",IF(F78&gt;W12,"ACIMA","OK")))</f>
        <v/>
      </c>
      <c r="G79" s="39" t="str">
        <f>IF(G78="","",IF(V14=0,"N/A",IF(G78&gt;W13,"ACIMA","OK")))</f>
        <v/>
      </c>
      <c r="H79" s="17"/>
      <c r="N79" s="7"/>
      <c r="O79" s="5"/>
    </row>
    <row r="80" spans="1:20" ht="17.25" customHeight="1" x14ac:dyDescent="0.25">
      <c r="B80" s="115" t="s">
        <v>377</v>
      </c>
      <c r="C80" s="114"/>
      <c r="D80" s="36"/>
      <c r="E80" s="36"/>
      <c r="F80" s="36"/>
      <c r="G80" s="36"/>
      <c r="H80" s="17"/>
      <c r="O80" s="5"/>
    </row>
    <row r="81" spans="1:24" ht="17.25" customHeight="1" x14ac:dyDescent="0.25">
      <c r="B81" s="116" t="str">
        <f>IF((OR(B77="Ver obs.2",C77="Ver obs.2",D77="Ver obs.2",E77="Ver obs.2",F77="Ver obs.2",G77="Ver obs.2")),"Obs.2: provável clipping na corrente máxima do inversor (não impede utilização do módulo)","")</f>
        <v/>
      </c>
      <c r="C81" s="114"/>
      <c r="D81" s="36"/>
      <c r="E81" s="36"/>
      <c r="F81" s="36"/>
      <c r="G81" s="36"/>
      <c r="H81" s="17"/>
      <c r="M81" s="115"/>
      <c r="O81" s="5"/>
    </row>
    <row r="82" spans="1:24" ht="17.25" hidden="1" customHeight="1" x14ac:dyDescent="0.25">
      <c r="B82" s="115"/>
      <c r="C82" s="36"/>
      <c r="D82" s="36"/>
      <c r="E82" s="36"/>
      <c r="F82" s="36"/>
      <c r="G82" s="36"/>
      <c r="H82" s="17"/>
      <c r="O82" s="5"/>
    </row>
    <row r="83" spans="1:24" ht="17.25" hidden="1" customHeight="1" x14ac:dyDescent="0.25">
      <c r="A83" s="2" t="s">
        <v>32</v>
      </c>
      <c r="B83" s="22" t="e">
        <f>(I62*B45)/1000</f>
        <v>#N/A</v>
      </c>
      <c r="C83" s="17"/>
      <c r="N83" s="7"/>
      <c r="O83" s="5"/>
    </row>
    <row r="84" spans="1:24" ht="17.25" hidden="1" customHeight="1" x14ac:dyDescent="0.25">
      <c r="A84" s="3" t="s">
        <v>33</v>
      </c>
      <c r="B84" s="14" t="e">
        <f>((I62*B30)/1000)</f>
        <v>#N/A</v>
      </c>
      <c r="C84" s="17"/>
    </row>
    <row r="85" spans="1:24" ht="17.25" hidden="1" customHeight="1" x14ac:dyDescent="0.25">
      <c r="A85" s="3" t="s">
        <v>34</v>
      </c>
      <c r="B85" s="40" t="e">
        <f>ROUND(B8/B7,2)</f>
        <v>#N/A</v>
      </c>
      <c r="C85" s="17"/>
      <c r="J85" s="17"/>
    </row>
    <row r="86" spans="1:24" ht="17.25" hidden="1" customHeight="1" x14ac:dyDescent="0.25">
      <c r="A86" s="3" t="s">
        <v>35</v>
      </c>
      <c r="B86" s="40" t="e">
        <f>ROUND(B84/B7,2)</f>
        <v>#N/A</v>
      </c>
      <c r="C86" s="17" t="e">
        <f>IF(B86&gt;B85,"ACIMA DA RECOMENDAÇÃO DO FABRICANTE","")</f>
        <v>#N/A</v>
      </c>
    </row>
    <row r="87" spans="1:24" ht="17.25" hidden="1" customHeight="1" x14ac:dyDescent="0.25">
      <c r="B87" s="40"/>
      <c r="C87" s="17"/>
    </row>
    <row r="88" spans="1:24" ht="17.25" hidden="1" customHeight="1" x14ac:dyDescent="0.25">
      <c r="B88" s="40"/>
      <c r="C88" s="17"/>
    </row>
    <row r="89" spans="1:24" ht="17.25" customHeight="1" x14ac:dyDescent="0.25">
      <c r="A89" s="3" t="s">
        <v>351</v>
      </c>
      <c r="B89" s="54" t="e">
        <f>CONCATENATE(T68,"E/",T70,"S-",T72,"V")</f>
        <v>#NUM!</v>
      </c>
      <c r="C89" s="17"/>
      <c r="D89" t="s">
        <v>385</v>
      </c>
    </row>
    <row r="90" spans="1:24" ht="17.25" customHeight="1" x14ac:dyDescent="0.25">
      <c r="A90" s="3" t="s">
        <v>371</v>
      </c>
      <c r="B90" s="52" t="e">
        <f>HLOOKUP($B$4,INVERSORES!4:25,22,0)</f>
        <v>#N/A</v>
      </c>
      <c r="D90" t="s">
        <v>387</v>
      </c>
    </row>
    <row r="91" spans="1:24" ht="17.25" customHeight="1" x14ac:dyDescent="0.25">
      <c r="B91" s="52" t="s">
        <v>350</v>
      </c>
    </row>
    <row r="92" spans="1:24" ht="17.25" customHeight="1" x14ac:dyDescent="0.25">
      <c r="B92" s="52"/>
    </row>
    <row r="93" spans="1:24" ht="17.25" customHeight="1" x14ac:dyDescent="0.25">
      <c r="B93" s="119" t="s">
        <v>348</v>
      </c>
      <c r="C93" s="68"/>
      <c r="D93" s="68"/>
      <c r="E93" s="68"/>
      <c r="F93" s="68"/>
      <c r="G93" s="68"/>
      <c r="H93" s="68"/>
      <c r="I93" s="68"/>
      <c r="J93" s="68"/>
      <c r="K93" s="68"/>
      <c r="L93" s="68"/>
    </row>
    <row r="94" spans="1:24" ht="17.25" customHeight="1" x14ac:dyDescent="0.25">
      <c r="B94" s="109" t="s">
        <v>355</v>
      </c>
      <c r="C94" s="68"/>
      <c r="D94" s="68"/>
      <c r="E94" s="68"/>
      <c r="F94" s="68"/>
      <c r="G94" s="68"/>
      <c r="H94" s="68"/>
      <c r="I94" s="68"/>
      <c r="J94" s="68"/>
      <c r="K94" s="68"/>
      <c r="L94" s="68"/>
    </row>
    <row r="95" spans="1:24" ht="17.25" customHeight="1" x14ac:dyDescent="0.25">
      <c r="B95" s="118" t="s">
        <v>356</v>
      </c>
      <c r="C95" s="68"/>
      <c r="D95" s="68"/>
      <c r="E95" s="68"/>
      <c r="F95" s="68"/>
      <c r="G95" s="68"/>
      <c r="H95" s="68"/>
      <c r="I95" s="68"/>
      <c r="J95" s="68"/>
      <c r="K95" s="68"/>
      <c r="L95" s="68"/>
    </row>
    <row r="96" spans="1:24" s="19" customFormat="1" ht="17.25" customHeight="1" x14ac:dyDescent="0.25">
      <c r="A96" s="25"/>
      <c r="B96" s="120"/>
      <c r="C96" s="120"/>
      <c r="D96" s="121"/>
      <c r="E96" s="75"/>
      <c r="F96" s="75"/>
      <c r="G96" s="75"/>
      <c r="H96" s="75"/>
      <c r="I96" s="75"/>
      <c r="J96" s="75"/>
      <c r="K96" s="75"/>
      <c r="L96" s="75"/>
      <c r="N96" s="44"/>
      <c r="X96" s="44"/>
    </row>
    <row r="97" spans="1:14" ht="17.25" customHeight="1" x14ac:dyDescent="0.25">
      <c r="B97" s="32"/>
      <c r="C97" s="32"/>
      <c r="D97" s="16"/>
    </row>
    <row r="98" spans="1:14" ht="17.25" customHeight="1" x14ac:dyDescent="0.3">
      <c r="A98" s="15" t="s">
        <v>459</v>
      </c>
      <c r="B98" s="32"/>
      <c r="C98" s="32"/>
      <c r="D98" s="16"/>
    </row>
    <row r="99" spans="1:14" ht="17.25" customHeight="1" x14ac:dyDescent="0.25">
      <c r="A99" s="84" t="s">
        <v>225</v>
      </c>
      <c r="B99" s="99" t="s">
        <v>464</v>
      </c>
      <c r="C99" s="32"/>
      <c r="D99" s="16"/>
    </row>
    <row r="100" spans="1:14" ht="17.25" customHeight="1" x14ac:dyDescent="0.25">
      <c r="A100" s="3" t="s">
        <v>462</v>
      </c>
      <c r="B100" s="8"/>
    </row>
    <row r="101" spans="1:14" ht="17.25" customHeight="1" x14ac:dyDescent="0.25">
      <c r="A101" s="3" t="s">
        <v>142</v>
      </c>
      <c r="B101" s="8"/>
      <c r="D101" t="s">
        <v>460</v>
      </c>
    </row>
    <row r="102" spans="1:14" ht="17.25" customHeight="1" x14ac:dyDescent="0.25">
      <c r="A102" s="41" t="s">
        <v>36</v>
      </c>
      <c r="B102" s="29" t="e">
        <f>J62*(B101/100)*B100</f>
        <v>#N/A</v>
      </c>
      <c r="D102" s="117" t="s">
        <v>349</v>
      </c>
    </row>
    <row r="103" spans="1:14" ht="17.25" customHeight="1" x14ac:dyDescent="0.25">
      <c r="A103" s="41" t="s">
        <v>37</v>
      </c>
      <c r="B103" s="29" t="e">
        <f>B102*30.41</f>
        <v>#N/A</v>
      </c>
      <c r="J103" s="17"/>
      <c r="K103" s="17"/>
      <c r="L103" s="17"/>
      <c r="M103" s="17"/>
      <c r="N103" s="48"/>
    </row>
    <row r="104" spans="1:14" ht="17.25" customHeight="1" x14ac:dyDescent="0.25">
      <c r="A104" s="41" t="s">
        <v>38</v>
      </c>
      <c r="B104" s="29" t="e">
        <f>B103*12</f>
        <v>#N/A</v>
      </c>
      <c r="J104" s="17"/>
    </row>
    <row r="105" spans="1:14" ht="17.25" customHeight="1" x14ac:dyDescent="0.25">
      <c r="B105" s="110"/>
      <c r="J105" s="17"/>
    </row>
    <row r="106" spans="1:14" ht="17.25" customHeight="1" x14ac:dyDescent="0.25">
      <c r="J106" s="17"/>
    </row>
    <row r="109" spans="1:14" ht="17.25" customHeight="1" x14ac:dyDescent="0.25">
      <c r="J109" s="17"/>
      <c r="K109" s="17"/>
      <c r="L109" s="17"/>
      <c r="M109" s="17"/>
      <c r="N109" s="48"/>
    </row>
    <row r="110" spans="1:14" ht="17.25" customHeight="1" x14ac:dyDescent="0.25">
      <c r="J110" s="17"/>
    </row>
    <row r="111" spans="1:14" ht="17.25" customHeight="1" x14ac:dyDescent="0.25">
      <c r="J111" s="17"/>
    </row>
    <row r="112" spans="1:14" ht="17.25" customHeight="1" x14ac:dyDescent="0.25">
      <c r="J112" s="17"/>
    </row>
    <row r="113" spans="10:14" ht="17.25" customHeight="1" x14ac:dyDescent="0.25">
      <c r="J113" s="17"/>
    </row>
    <row r="114" spans="10:14" ht="17.25" customHeight="1" x14ac:dyDescent="0.25">
      <c r="L114" s="17"/>
      <c r="M114" s="5"/>
      <c r="N114" s="7"/>
    </row>
    <row r="116" spans="10:14" ht="17.25" customHeight="1" x14ac:dyDescent="0.25">
      <c r="L116" s="42"/>
      <c r="M116" s="14"/>
      <c r="N116" s="49"/>
    </row>
    <row r="117" spans="10:14" ht="17.25" customHeight="1" x14ac:dyDescent="0.25">
      <c r="L117" s="42"/>
      <c r="M117" s="14"/>
      <c r="N117" s="49"/>
    </row>
    <row r="118" spans="10:14" ht="17.25" customHeight="1" x14ac:dyDescent="0.25">
      <c r="L118" s="42"/>
      <c r="M118" s="14"/>
      <c r="N118" s="49"/>
    </row>
    <row r="122" spans="10:14" ht="17.25" customHeight="1" x14ac:dyDescent="0.25">
      <c r="M122" s="32"/>
      <c r="N122" s="49"/>
    </row>
    <row r="123" spans="10:14" ht="17.25" customHeight="1" x14ac:dyDescent="0.25">
      <c r="L123" s="17"/>
      <c r="M123" s="5"/>
      <c r="N123" s="7"/>
    </row>
    <row r="124" spans="10:14" ht="17.25" customHeight="1" x14ac:dyDescent="0.25">
      <c r="L124" s="17"/>
      <c r="M124" s="5"/>
      <c r="N124" s="7"/>
    </row>
    <row r="125" spans="10:14" ht="17.25" customHeight="1" x14ac:dyDescent="0.25">
      <c r="L125" s="17"/>
      <c r="M125" s="5"/>
      <c r="N125" s="7"/>
    </row>
    <row r="127" spans="10:14" ht="17.25" customHeight="1" x14ac:dyDescent="0.25">
      <c r="L127" s="42"/>
      <c r="M127" s="14"/>
      <c r="N127" s="50"/>
    </row>
    <row r="128" spans="10:14" ht="17.25" customHeight="1" x14ac:dyDescent="0.25">
      <c r="L128" s="42"/>
      <c r="M128" s="14"/>
      <c r="N128" s="50"/>
    </row>
    <row r="129" spans="12:14" ht="17.25" customHeight="1" x14ac:dyDescent="0.25">
      <c r="L129" s="42"/>
      <c r="M129" s="14"/>
      <c r="N129" s="50"/>
    </row>
  </sheetData>
  <sheetProtection algorithmName="SHA-512" hashValue="kh7GUCOuDZEULLDRmNHGsVU4ly7kWDp426Ug2X23930xC2fcGZDnPLZHUbKRVAKrL8rp8pOHkW8onm3rJVkqqA==" saltValue="mVi0WZrrvTReSrgmpcA9hA==" spinCount="100000" sheet="1" selectLockedCells="1"/>
  <mergeCells count="7">
    <mergeCell ref="E1:F2"/>
    <mergeCell ref="B4:C4"/>
    <mergeCell ref="B20:C20"/>
    <mergeCell ref="E9:L11"/>
    <mergeCell ref="E12:L14"/>
    <mergeCell ref="E15:L17"/>
    <mergeCell ref="E3:L8"/>
  </mergeCells>
  <phoneticPr fontId="6" type="noConversion"/>
  <conditionalFormatting sqref="B80">
    <cfRule type="containsText" dxfId="29" priority="7" operator="containsText" text="ACIMA">
      <formula>NOT(ISERROR(SEARCH("ACIMA",B80)))</formula>
    </cfRule>
    <cfRule type="containsText" dxfId="28" priority="8" operator="containsText" text="ERRO">
      <formula>NOT(ISERROR(SEARCH("ERRO",B80)))</formula>
    </cfRule>
    <cfRule type="containsText" dxfId="27" priority="9" operator="containsText" text="OK">
      <formula>NOT(ISERROR(SEARCH("OK",B80)))</formula>
    </cfRule>
  </conditionalFormatting>
  <conditionalFormatting sqref="B63:G63">
    <cfRule type="containsText" dxfId="26" priority="22" operator="containsText" text="OK">
      <formula>NOT(ISERROR(SEARCH("OK",B63)))</formula>
    </cfRule>
    <cfRule type="containsText" dxfId="25" priority="23" operator="containsText" text="acima">
      <formula>NOT(ISERROR(SEARCH("acima",B63)))</formula>
    </cfRule>
  </conditionalFormatting>
  <conditionalFormatting sqref="B64:G64">
    <cfRule type="containsText" dxfId="24" priority="25" operator="containsText" text="erro">
      <formula>NOT(ISERROR(SEARCH("erro",B64)))</formula>
    </cfRule>
    <cfRule type="containsText" dxfId="23" priority="26" operator="containsText" text="ok">
      <formula>NOT(ISERROR(SEARCH("ok",B64)))</formula>
    </cfRule>
  </conditionalFormatting>
  <conditionalFormatting sqref="B69:G69">
    <cfRule type="containsText" dxfId="22" priority="12" operator="containsText" text="ACIMA">
      <formula>NOT(ISERROR(SEARCH("ACIMA",B69)))</formula>
    </cfRule>
    <cfRule type="containsText" dxfId="21" priority="13" operator="containsText" text="OK">
      <formula>NOT(ISERROR(SEARCH("OK",B69)))</formula>
    </cfRule>
    <cfRule type="containsText" dxfId="20" priority="14" operator="containsText" text="OK">
      <formula>NOT(ISERROR(SEARCH("OK",B69)))</formula>
    </cfRule>
  </conditionalFormatting>
  <conditionalFormatting sqref="B72:G73 B75:G75 B78:G79 C80:G81 M81 B82:G82">
    <cfRule type="containsText" dxfId="18" priority="31" operator="containsText" text="ERRO">
      <formula>NOT(ISERROR(SEARCH("ERRO",B72)))</formula>
    </cfRule>
  </conditionalFormatting>
  <conditionalFormatting sqref="B72:G73 B75:G75 C80:G81 M81 B82:G82">
    <cfRule type="containsText" dxfId="17" priority="29" operator="containsText" text="ACIMA">
      <formula>NOT(ISERROR(SEARCH("ACIMA",B72)))</formula>
    </cfRule>
  </conditionalFormatting>
  <conditionalFormatting sqref="B72:G73">
    <cfRule type="containsText" dxfId="16" priority="30" operator="containsText" text="OK">
      <formula>NOT(ISERROR(SEARCH("OK",B72)))</formula>
    </cfRule>
  </conditionalFormatting>
  <conditionalFormatting sqref="B73:G73">
    <cfRule type="containsText" dxfId="15" priority="21" operator="containsText" text="mod">
      <formula>NOT(ISERROR(SEARCH("mod",B73)))</formula>
    </cfRule>
  </conditionalFormatting>
  <conditionalFormatting sqref="B75:G75 B78:G79 C80:G81 M81 B82:G82 C83:C89 H56 G57">
    <cfRule type="containsText" dxfId="14" priority="32" operator="containsText" text="OK">
      <formula>NOT(ISERROR(SEARCH("OK",B56)))</formula>
    </cfRule>
  </conditionalFormatting>
  <conditionalFormatting sqref="B77:G77">
    <cfRule type="containsText" dxfId="13" priority="10" operator="containsText" text="obs">
      <formula>NOT(ISERROR(SEARCH("obs",B77)))</formula>
    </cfRule>
    <cfRule type="containsText" dxfId="12" priority="19" operator="containsText" text="OK">
      <formula>NOT(ISERROR(SEARCH("OK",B77)))</formula>
    </cfRule>
  </conditionalFormatting>
  <conditionalFormatting sqref="B77:G79">
    <cfRule type="containsText" dxfId="11" priority="18" operator="containsText" text="ACIMA">
      <formula>NOT(ISERROR(SEARCH("ACIMA",B77)))</formula>
    </cfRule>
  </conditionalFormatting>
  <conditionalFormatting sqref="C27:C29">
    <cfRule type="containsText" dxfId="10" priority="20" operator="containsText" text="menor">
      <formula>NOT(ISERROR(SEARCH("menor",C27)))</formula>
    </cfRule>
  </conditionalFormatting>
  <conditionalFormatting sqref="C83">
    <cfRule type="containsText" dxfId="9" priority="35" operator="containsText" text="NÚMERO NÃO-INTEIRO DE MÓDULOS">
      <formula>NOT(ISERROR(SEARCH("NÚMERO NÃO-INTEIRO DE MÓDULOS",C83)))</formula>
    </cfRule>
  </conditionalFormatting>
  <conditionalFormatting sqref="C84:C85">
    <cfRule type="containsText" dxfId="8" priority="33" operator="containsText" text="TENSÃO ACIMA DA FAIXA DO MPPT">
      <formula>NOT(ISERROR(SEARCH("TENSÃO ACIMA DA FAIXA DO MPPT",C84)))</formula>
    </cfRule>
  </conditionalFormatting>
  <conditionalFormatting sqref="C86:C89">
    <cfRule type="containsText" dxfId="7" priority="28" operator="containsText" text="ACIMA DA RECOMENDAÇÃO DO FABRICANTE">
      <formula>NOT(ISERROR(SEARCH("ACIMA DA RECOMENDAÇÃO DO FABRICANTE",C86)))</formula>
    </cfRule>
  </conditionalFormatting>
  <conditionalFormatting sqref="H56 G57 I61:I62 H68 H72:H82">
    <cfRule type="containsText" dxfId="6" priority="34" operator="containsText" text="ACIMA DA CAPACIDADE DO INVERSOR (PREENCHIMENTO INCORRETO)">
      <formula>NOT(ISERROR(SEARCH("ACIMA DA CAPACIDADE DO INVERSOR (PREENCHIMENTO INCORRETO)",G56)))</formula>
    </cfRule>
  </conditionalFormatting>
  <conditionalFormatting sqref="H56 G57">
    <cfRule type="containsText" dxfId="5" priority="27" operator="containsText" text="QUANTIDADE DE MPPTs ACIMA DA CAPACIDADE DO INVERSOR">
      <formula>NOT(ISERROR(SEARCH("QUANTIDADE DE MPPTs ACIMA DA CAPACIDADE DO INVERSOR",G56)))</formula>
    </cfRule>
  </conditionalFormatting>
  <conditionalFormatting sqref="H57 H64">
    <cfRule type="containsText" dxfId="4" priority="24" operator="containsText" text="STRING">
      <formula>NOT(ISERROR(SEARCH("STRING",H57)))</formula>
    </cfRule>
  </conditionalFormatting>
  <conditionalFormatting sqref="I63">
    <cfRule type="containsText" dxfId="3" priority="2" operator="containsText" text="ACIMA">
      <formula>NOT(ISERROR(SEARCH("ACIMA",I63)))</formula>
    </cfRule>
  </conditionalFormatting>
  <conditionalFormatting sqref="K63">
    <cfRule type="containsText" dxfId="2" priority="15" operator="containsText" text="DENTRO">
      <formula>NOT(ISERROR(SEARCH("DENTRO",K63)))</formula>
    </cfRule>
    <cfRule type="containsText" dxfId="1" priority="16" operator="containsText" text="ACIMA">
      <formula>NOT(ISERROR(SEARCH("ACIMA",K63)))</formula>
    </cfRule>
  </conditionalFormatting>
  <conditionalFormatting sqref="M64">
    <cfRule type="containsText" dxfId="0" priority="3" operator="containsText" text="POSSÍVEL">
      <formula>NOT(ISERROR(SEARCH("POSSÍVEL",M64)))</formula>
    </cfRule>
  </conditionalFormatting>
  <hyperlinks>
    <hyperlink ref="D102" r:id="rId1" xr:uid="{3219E845-C1D7-4586-AE9C-35EEC332267B}"/>
  </hyperlinks>
  <pageMargins left="0.511811024" right="0.511811024" top="0.78740157499999996" bottom="0.78740157499999996" header="0.31496062000000002" footer="0.31496062000000002"/>
  <pageSetup paperSize="9" orientation="portrait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077ACE61-7B2E-484F-8A46-E242BD964A55}">
            <xm:f>NOT(ISERROR(SEARCH("+",B72)))</xm:f>
            <xm:f>"+"</xm:f>
            <x14:dxf>
              <font>
                <color rgb="FF9C0006"/>
              </font>
            </x14:dxf>
          </x14:cfRule>
          <xm:sqref>B72:G72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B15924B-BD52-4CE0-A14E-CC306D0866BB}">
          <x14:formula1>
            <xm:f>MÓDULOS!$C$6:$I$6</xm:f>
          </x14:formula1>
          <xm:sqref>B20:C20</xm:sqref>
        </x14:dataValidation>
        <x14:dataValidation type="list" allowBlank="1" showInputMessage="1" showErrorMessage="1" xr:uid="{14CE6FDA-EC72-4481-BE19-77D034564846}">
          <x14:formula1>
            <xm:f>INVERSORES!$AB$4:$BS$4</xm:f>
          </x14:formula1>
          <xm:sqref>B4:C4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3B328-751F-49B2-9E8A-871186735C2E}">
  <sheetPr codeName="Planilha2"/>
  <dimension ref="A1:BV33"/>
  <sheetViews>
    <sheetView topLeftCell="A3" zoomScaleNormal="100" workbookViewId="0">
      <pane xSplit="1" topLeftCell="B1" activePane="topRight" state="frozen"/>
      <selection pane="topRight" activeCell="B13" sqref="B13"/>
    </sheetView>
  </sheetViews>
  <sheetFormatPr defaultColWidth="15" defaultRowHeight="15" x14ac:dyDescent="0.25"/>
  <cols>
    <col min="1" max="1" width="34.28515625" customWidth="1"/>
    <col min="2" max="2" width="15" customWidth="1"/>
    <col min="62" max="62" width="15" customWidth="1"/>
  </cols>
  <sheetData>
    <row r="1" spans="1:74" x14ac:dyDescent="0.25"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11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V1" s="5"/>
    </row>
    <row r="2" spans="1:74" ht="15" customHeight="1" x14ac:dyDescent="0.25">
      <c r="A2" s="56"/>
      <c r="B2" s="56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11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V2" s="5"/>
    </row>
    <row r="3" spans="1:74" ht="15" customHeight="1" x14ac:dyDescent="0.25">
      <c r="A3" s="56"/>
      <c r="B3" s="96" t="s">
        <v>220</v>
      </c>
      <c r="AT3" s="58"/>
      <c r="BU3" t="s">
        <v>324</v>
      </c>
    </row>
    <row r="4" spans="1:74" x14ac:dyDescent="0.25">
      <c r="A4" s="7" t="s">
        <v>71</v>
      </c>
      <c r="B4" s="97" t="s">
        <v>221</v>
      </c>
      <c r="C4" s="7" t="s">
        <v>62</v>
      </c>
      <c r="D4" s="7" t="s">
        <v>63</v>
      </c>
      <c r="E4" s="7" t="s">
        <v>64</v>
      </c>
      <c r="F4" s="7" t="s">
        <v>65</v>
      </c>
      <c r="G4" s="7" t="s">
        <v>66</v>
      </c>
      <c r="H4" s="7" t="s">
        <v>67</v>
      </c>
      <c r="I4" s="7" t="s">
        <v>68</v>
      </c>
      <c r="J4" s="7" t="s">
        <v>39</v>
      </c>
      <c r="K4" s="7" t="s">
        <v>40</v>
      </c>
      <c r="L4" s="7" t="s">
        <v>41</v>
      </c>
      <c r="M4" s="7" t="s">
        <v>42</v>
      </c>
      <c r="N4" s="7" t="s">
        <v>43</v>
      </c>
      <c r="O4" s="7" t="s">
        <v>44</v>
      </c>
      <c r="P4" s="7" t="s">
        <v>45</v>
      </c>
      <c r="Q4" s="7" t="s">
        <v>46</v>
      </c>
      <c r="R4" s="7" t="s">
        <v>47</v>
      </c>
      <c r="S4" s="7" t="s">
        <v>48</v>
      </c>
      <c r="T4" s="7" t="s">
        <v>49</v>
      </c>
      <c r="U4" s="7" t="s">
        <v>50</v>
      </c>
      <c r="V4" s="7" t="s">
        <v>51</v>
      </c>
      <c r="W4" s="7" t="s">
        <v>52</v>
      </c>
      <c r="X4" s="7" t="s">
        <v>53</v>
      </c>
      <c r="Y4" s="7" t="s">
        <v>54</v>
      </c>
      <c r="Z4" s="7" t="s">
        <v>55</v>
      </c>
      <c r="AA4" s="7" t="s">
        <v>56</v>
      </c>
      <c r="AB4" s="11" t="s">
        <v>233</v>
      </c>
      <c r="AC4" s="11" t="s">
        <v>504</v>
      </c>
      <c r="AD4" s="11" t="s">
        <v>505</v>
      </c>
      <c r="AE4" s="11" t="s">
        <v>230</v>
      </c>
      <c r="AF4" s="11" t="s">
        <v>476</v>
      </c>
      <c r="AG4" s="11" t="s">
        <v>507</v>
      </c>
      <c r="AH4" s="11" t="s">
        <v>508</v>
      </c>
      <c r="AI4" s="11" t="s">
        <v>231</v>
      </c>
      <c r="AJ4" s="11" t="s">
        <v>509</v>
      </c>
      <c r="AK4" s="11" t="s">
        <v>232</v>
      </c>
      <c r="AL4" s="11" t="s">
        <v>510</v>
      </c>
      <c r="AM4" s="7" t="s">
        <v>228</v>
      </c>
      <c r="AN4" s="7" t="s">
        <v>91</v>
      </c>
      <c r="AO4" s="7" t="s">
        <v>92</v>
      </c>
      <c r="AP4" s="7" t="s">
        <v>521</v>
      </c>
      <c r="AQ4" s="7" t="s">
        <v>354</v>
      </c>
      <c r="AR4" s="7" t="s">
        <v>297</v>
      </c>
      <c r="AS4" s="7" t="s">
        <v>101</v>
      </c>
      <c r="AT4" s="7" t="s">
        <v>295</v>
      </c>
      <c r="AU4" s="7" t="s">
        <v>518</v>
      </c>
      <c r="AV4" s="7" t="s">
        <v>524</v>
      </c>
      <c r="AW4" s="7" t="s">
        <v>323</v>
      </c>
      <c r="AX4" s="7" t="s">
        <v>519</v>
      </c>
      <c r="AY4" s="7" t="s">
        <v>0</v>
      </c>
      <c r="AZ4" s="7" t="s">
        <v>551</v>
      </c>
      <c r="BA4" s="7" t="s">
        <v>552</v>
      </c>
      <c r="BB4" s="7" t="s">
        <v>525</v>
      </c>
      <c r="BC4" s="7" t="s">
        <v>529</v>
      </c>
      <c r="BD4" s="7" t="s">
        <v>321</v>
      </c>
      <c r="BE4" s="7" t="s">
        <v>526</v>
      </c>
      <c r="BF4" s="12" t="s">
        <v>227</v>
      </c>
      <c r="BG4" s="12" t="s">
        <v>93</v>
      </c>
      <c r="BH4" s="12" t="s">
        <v>94</v>
      </c>
      <c r="BI4" s="12" t="s">
        <v>95</v>
      </c>
      <c r="BJ4" s="12" t="s">
        <v>96</v>
      </c>
      <c r="BK4" s="12" t="s">
        <v>97</v>
      </c>
      <c r="BL4" s="12" t="s">
        <v>99</v>
      </c>
      <c r="BM4" s="12" t="s">
        <v>306</v>
      </c>
      <c r="BN4" s="12" t="s">
        <v>296</v>
      </c>
      <c r="BO4" s="13" t="s">
        <v>309</v>
      </c>
      <c r="BP4" s="13" t="s">
        <v>310</v>
      </c>
      <c r="BQ4" s="13" t="s">
        <v>528</v>
      </c>
      <c r="BR4" s="13" t="s">
        <v>308</v>
      </c>
      <c r="BS4" s="13" t="s">
        <v>307</v>
      </c>
      <c r="BU4" s="12" t="s">
        <v>98</v>
      </c>
      <c r="BV4" s="7" t="s">
        <v>69</v>
      </c>
    </row>
    <row r="5" spans="1:74" x14ac:dyDescent="0.25">
      <c r="A5" s="5" t="s">
        <v>61</v>
      </c>
      <c r="B5" s="98"/>
      <c r="C5" s="5">
        <v>1</v>
      </c>
      <c r="D5" s="5">
        <v>2</v>
      </c>
      <c r="E5" s="5">
        <v>3</v>
      </c>
      <c r="F5" s="5">
        <v>5</v>
      </c>
      <c r="G5" s="5">
        <v>10.1</v>
      </c>
      <c r="H5" s="5">
        <v>12</v>
      </c>
      <c r="I5" s="5">
        <v>15</v>
      </c>
      <c r="J5" s="5">
        <v>2</v>
      </c>
      <c r="K5" s="5">
        <v>3</v>
      </c>
      <c r="L5" s="5">
        <v>4</v>
      </c>
      <c r="M5" s="5">
        <v>5</v>
      </c>
      <c r="N5" s="5">
        <v>7</v>
      </c>
      <c r="O5" s="5">
        <v>10</v>
      </c>
      <c r="P5" s="5">
        <v>10</v>
      </c>
      <c r="Q5" s="5">
        <v>10</v>
      </c>
      <c r="R5" s="5">
        <v>15</v>
      </c>
      <c r="S5" s="5">
        <v>15</v>
      </c>
      <c r="T5" s="5">
        <v>20</v>
      </c>
      <c r="U5" s="5">
        <v>20</v>
      </c>
      <c r="V5" s="5">
        <v>25</v>
      </c>
      <c r="W5" s="5">
        <v>25</v>
      </c>
      <c r="X5" s="5">
        <v>30</v>
      </c>
      <c r="Y5" s="5">
        <v>40</v>
      </c>
      <c r="Z5" s="5">
        <v>50</v>
      </c>
      <c r="AA5" s="5">
        <v>60</v>
      </c>
      <c r="AB5" s="5">
        <v>3</v>
      </c>
      <c r="AC5" s="5">
        <v>3.6</v>
      </c>
      <c r="AD5" s="5">
        <v>4</v>
      </c>
      <c r="AE5" s="5">
        <v>5</v>
      </c>
      <c r="AF5" s="5">
        <v>6</v>
      </c>
      <c r="AG5" s="5">
        <v>7</v>
      </c>
      <c r="AH5" s="5">
        <v>7.5</v>
      </c>
      <c r="AI5" s="5">
        <v>8</v>
      </c>
      <c r="AJ5" s="5">
        <v>9</v>
      </c>
      <c r="AK5" s="5">
        <v>10</v>
      </c>
      <c r="AL5" s="5">
        <v>10.5</v>
      </c>
      <c r="AM5" s="5">
        <v>10</v>
      </c>
      <c r="AN5" s="5">
        <v>12</v>
      </c>
      <c r="AO5" s="5">
        <v>15</v>
      </c>
      <c r="AP5" s="5">
        <v>18</v>
      </c>
      <c r="AQ5" s="5">
        <v>20</v>
      </c>
      <c r="AR5" s="5">
        <v>25</v>
      </c>
      <c r="AS5" s="5">
        <v>30</v>
      </c>
      <c r="AT5" s="5">
        <v>35</v>
      </c>
      <c r="AU5" s="5">
        <v>40</v>
      </c>
      <c r="AV5" s="5">
        <v>45</v>
      </c>
      <c r="AW5" s="5">
        <v>50</v>
      </c>
      <c r="AX5" s="5">
        <v>60</v>
      </c>
      <c r="AY5" s="5">
        <v>75</v>
      </c>
      <c r="AZ5" s="5">
        <v>75</v>
      </c>
      <c r="BA5" s="5">
        <v>75</v>
      </c>
      <c r="BB5" s="5">
        <v>75</v>
      </c>
      <c r="BC5" s="5">
        <v>90</v>
      </c>
      <c r="BD5" s="5">
        <v>100</v>
      </c>
      <c r="BE5" s="5">
        <v>110</v>
      </c>
      <c r="BF5" s="5">
        <v>10</v>
      </c>
      <c r="BG5" s="5">
        <v>12</v>
      </c>
      <c r="BH5" s="5">
        <v>15</v>
      </c>
      <c r="BI5" s="5">
        <v>20</v>
      </c>
      <c r="BJ5" s="5">
        <v>25</v>
      </c>
      <c r="BK5" s="5">
        <v>30</v>
      </c>
      <c r="BL5" s="5">
        <v>35</v>
      </c>
      <c r="BM5" s="5">
        <v>40</v>
      </c>
      <c r="BN5" s="5">
        <v>50</v>
      </c>
      <c r="BO5" s="5">
        <v>3.6</v>
      </c>
      <c r="BP5" s="5">
        <v>5</v>
      </c>
      <c r="BQ5" s="5">
        <v>5</v>
      </c>
      <c r="BR5" s="5">
        <v>8</v>
      </c>
      <c r="BS5" s="5">
        <v>8</v>
      </c>
      <c r="BU5" s="5">
        <v>33</v>
      </c>
      <c r="BV5" s="5">
        <v>33</v>
      </c>
    </row>
    <row r="6" spans="1:74" x14ac:dyDescent="0.25">
      <c r="A6" t="s">
        <v>57</v>
      </c>
      <c r="B6" s="98"/>
      <c r="C6" s="5">
        <v>1.1000000000000001</v>
      </c>
      <c r="D6" s="5">
        <v>2.2000000000000002</v>
      </c>
      <c r="E6" s="5">
        <v>3</v>
      </c>
      <c r="F6" s="5">
        <v>6.5</v>
      </c>
      <c r="G6" s="5">
        <v>13</v>
      </c>
      <c r="H6" s="5">
        <v>15.6</v>
      </c>
      <c r="I6" s="5">
        <v>19.5</v>
      </c>
      <c r="J6" s="5">
        <v>2.2999999999999998</v>
      </c>
      <c r="K6" s="5">
        <v>3.5</v>
      </c>
      <c r="L6" s="5">
        <v>4.5999999999999996</v>
      </c>
      <c r="M6" s="5">
        <v>5.8</v>
      </c>
      <c r="N6" s="5">
        <v>8</v>
      </c>
      <c r="O6" s="5">
        <v>11.5</v>
      </c>
      <c r="P6" s="5">
        <v>12</v>
      </c>
      <c r="Q6" s="5">
        <v>11.5</v>
      </c>
      <c r="R6" s="5">
        <v>18</v>
      </c>
      <c r="S6" s="5">
        <v>18</v>
      </c>
      <c r="T6" s="5">
        <v>24</v>
      </c>
      <c r="U6" s="5">
        <v>24</v>
      </c>
      <c r="V6" s="5">
        <v>30</v>
      </c>
      <c r="W6" s="5">
        <v>30</v>
      </c>
      <c r="X6" s="5">
        <v>36</v>
      </c>
      <c r="Y6" s="5">
        <v>48</v>
      </c>
      <c r="Z6" s="5">
        <v>60</v>
      </c>
      <c r="AA6" s="5">
        <v>72</v>
      </c>
      <c r="AB6" s="5">
        <v>3.9</v>
      </c>
      <c r="AC6" s="5">
        <v>4.7</v>
      </c>
      <c r="AD6" s="5">
        <f>AD5*1.3</f>
        <v>5.2</v>
      </c>
      <c r="AE6" s="5">
        <v>6.5</v>
      </c>
      <c r="AF6" s="5">
        <v>7.8</v>
      </c>
      <c r="AG6" s="5">
        <v>9.1</v>
      </c>
      <c r="AH6" s="5">
        <v>9.8000000000000007</v>
      </c>
      <c r="AI6" s="5">
        <v>10.4</v>
      </c>
      <c r="AJ6" s="5">
        <v>11.7</v>
      </c>
      <c r="AK6" s="5">
        <v>13</v>
      </c>
      <c r="AL6" s="5">
        <v>13.7</v>
      </c>
      <c r="AM6" s="5">
        <v>13</v>
      </c>
      <c r="AN6" s="5">
        <v>15.6</v>
      </c>
      <c r="AO6" s="5">
        <v>18</v>
      </c>
      <c r="AP6" s="5">
        <v>23.4</v>
      </c>
      <c r="AQ6" s="5">
        <v>26</v>
      </c>
      <c r="AR6" s="5">
        <v>32.5</v>
      </c>
      <c r="AS6" s="5">
        <v>36</v>
      </c>
      <c r="AT6" s="5">
        <v>45.5</v>
      </c>
      <c r="AU6" s="5">
        <v>52</v>
      </c>
      <c r="AV6" s="5">
        <f>AV5*1.3</f>
        <v>58.5</v>
      </c>
      <c r="AW6" s="5">
        <v>65</v>
      </c>
      <c r="AX6" s="5">
        <v>78</v>
      </c>
      <c r="AY6" s="5">
        <v>97.5</v>
      </c>
      <c r="AZ6" s="5">
        <v>112.5</v>
      </c>
      <c r="BA6" s="5">
        <v>112.5</v>
      </c>
      <c r="BB6" s="5">
        <v>150</v>
      </c>
      <c r="BC6" s="5">
        <v>135</v>
      </c>
      <c r="BD6" s="5">
        <v>150</v>
      </c>
      <c r="BE6" s="5">
        <v>150</v>
      </c>
      <c r="BF6" s="5">
        <v>13</v>
      </c>
      <c r="BG6" s="5">
        <f>BG5*1.3</f>
        <v>15.600000000000001</v>
      </c>
      <c r="BH6" s="5">
        <f t="shared" ref="BH6:BN6" si="0">BH5*1.3</f>
        <v>19.5</v>
      </c>
      <c r="BI6" s="5">
        <f t="shared" si="0"/>
        <v>26</v>
      </c>
      <c r="BJ6" s="5">
        <f t="shared" si="0"/>
        <v>32.5</v>
      </c>
      <c r="BK6" s="5">
        <f t="shared" si="0"/>
        <v>39</v>
      </c>
      <c r="BL6" s="5">
        <f t="shared" si="0"/>
        <v>45.5</v>
      </c>
      <c r="BM6" s="5">
        <f t="shared" si="0"/>
        <v>52</v>
      </c>
      <c r="BN6" s="5">
        <f t="shared" si="0"/>
        <v>65</v>
      </c>
      <c r="BO6" s="5">
        <v>4.68</v>
      </c>
      <c r="BP6" s="5">
        <v>6.5</v>
      </c>
      <c r="BQ6" s="5">
        <v>6.5</v>
      </c>
      <c r="BR6" s="5">
        <v>10.4</v>
      </c>
      <c r="BS6" s="5">
        <v>10.4</v>
      </c>
      <c r="BU6" s="5">
        <f>BU5*1.3</f>
        <v>42.9</v>
      </c>
      <c r="BV6" s="5">
        <v>36</v>
      </c>
    </row>
    <row r="7" spans="1:74" x14ac:dyDescent="0.25">
      <c r="A7" t="s">
        <v>58</v>
      </c>
      <c r="B7" s="98"/>
      <c r="C7" s="5">
        <v>320</v>
      </c>
      <c r="D7" s="5">
        <v>480</v>
      </c>
      <c r="E7" s="5">
        <v>480</v>
      </c>
      <c r="F7" s="5">
        <v>600</v>
      </c>
      <c r="G7" s="5">
        <v>1000</v>
      </c>
      <c r="H7" s="5">
        <v>1000</v>
      </c>
      <c r="I7" s="5">
        <v>1000</v>
      </c>
      <c r="J7" s="5">
        <v>600</v>
      </c>
      <c r="K7" s="5">
        <v>600</v>
      </c>
      <c r="L7" s="5">
        <v>600</v>
      </c>
      <c r="M7" s="5">
        <v>600</v>
      </c>
      <c r="N7" s="5">
        <v>600</v>
      </c>
      <c r="O7" s="5">
        <v>600</v>
      </c>
      <c r="P7" s="5">
        <v>600</v>
      </c>
      <c r="Q7" s="5">
        <v>600</v>
      </c>
      <c r="R7" s="5">
        <v>1000</v>
      </c>
      <c r="S7" s="5">
        <v>1000</v>
      </c>
      <c r="T7" s="5">
        <v>1000</v>
      </c>
      <c r="U7" s="5">
        <v>1000</v>
      </c>
      <c r="V7" s="5">
        <v>1100</v>
      </c>
      <c r="W7" s="5">
        <v>1000</v>
      </c>
      <c r="X7" s="5">
        <v>1000</v>
      </c>
      <c r="Y7" s="5">
        <v>1100</v>
      </c>
      <c r="Z7" s="5">
        <v>1100</v>
      </c>
      <c r="AA7" s="5">
        <v>1100</v>
      </c>
      <c r="AB7" s="5">
        <v>550</v>
      </c>
      <c r="AC7" s="5">
        <v>550</v>
      </c>
      <c r="AD7" s="5">
        <v>550</v>
      </c>
      <c r="AE7" s="5">
        <v>550</v>
      </c>
      <c r="AF7" s="5">
        <v>550</v>
      </c>
      <c r="AG7" s="5">
        <v>550</v>
      </c>
      <c r="AH7" s="5">
        <v>550</v>
      </c>
      <c r="AI7" s="5">
        <v>550</v>
      </c>
      <c r="AJ7" s="5">
        <v>550</v>
      </c>
      <c r="AK7" s="5">
        <v>550</v>
      </c>
      <c r="AL7" s="5">
        <v>550</v>
      </c>
      <c r="AM7" s="5">
        <v>1000</v>
      </c>
      <c r="AN7" s="5">
        <v>1000</v>
      </c>
      <c r="AO7" s="5">
        <v>1000</v>
      </c>
      <c r="AP7" s="5">
        <v>1000</v>
      </c>
      <c r="AQ7" s="5">
        <v>1000</v>
      </c>
      <c r="AR7" s="5">
        <v>1000</v>
      </c>
      <c r="AS7" s="5">
        <v>1000</v>
      </c>
      <c r="AT7" s="5">
        <v>1000</v>
      </c>
      <c r="AU7" s="5">
        <v>1000</v>
      </c>
      <c r="AV7" s="5">
        <v>1000</v>
      </c>
      <c r="AW7" s="5">
        <v>1000</v>
      </c>
      <c r="AX7" s="5">
        <v>1000</v>
      </c>
      <c r="AY7" s="5">
        <v>1000</v>
      </c>
      <c r="AZ7" s="5">
        <v>1000</v>
      </c>
      <c r="BA7" s="5">
        <v>1000</v>
      </c>
      <c r="BB7" s="5">
        <v>1000</v>
      </c>
      <c r="BC7" s="5">
        <v>1000</v>
      </c>
      <c r="BD7" s="5">
        <v>1000</v>
      </c>
      <c r="BE7" s="5">
        <v>1000</v>
      </c>
      <c r="BF7" s="5">
        <v>800</v>
      </c>
      <c r="BG7" s="5">
        <v>800</v>
      </c>
      <c r="BH7" s="5">
        <v>800</v>
      </c>
      <c r="BI7" s="5">
        <v>800</v>
      </c>
      <c r="BJ7" s="5">
        <v>800</v>
      </c>
      <c r="BK7" s="5">
        <v>800</v>
      </c>
      <c r="BL7" s="5">
        <v>800</v>
      </c>
      <c r="BM7" s="5">
        <v>800</v>
      </c>
      <c r="BN7" s="5">
        <v>800</v>
      </c>
      <c r="BO7" s="5">
        <v>500</v>
      </c>
      <c r="BP7" s="5">
        <v>500</v>
      </c>
      <c r="BQ7" s="5">
        <v>500</v>
      </c>
      <c r="BR7" s="5">
        <v>500</v>
      </c>
      <c r="BS7" s="5">
        <v>500</v>
      </c>
      <c r="BU7" s="5">
        <v>800</v>
      </c>
      <c r="BV7" s="5">
        <v>1000</v>
      </c>
    </row>
    <row r="8" spans="1:74" x14ac:dyDescent="0.25">
      <c r="A8" t="s">
        <v>59</v>
      </c>
      <c r="B8" s="98"/>
      <c r="C8" s="5">
        <v>45</v>
      </c>
      <c r="D8" s="5">
        <v>45</v>
      </c>
      <c r="E8" s="5">
        <v>45</v>
      </c>
      <c r="F8" s="5">
        <v>90</v>
      </c>
      <c r="G8" s="5">
        <v>200</v>
      </c>
      <c r="H8" s="5">
        <v>200</v>
      </c>
      <c r="I8" s="5">
        <v>200</v>
      </c>
      <c r="J8" s="5">
        <v>90</v>
      </c>
      <c r="K8" s="5">
        <v>90</v>
      </c>
      <c r="L8" s="5">
        <v>120</v>
      </c>
      <c r="M8" s="5">
        <v>120</v>
      </c>
      <c r="N8" s="5">
        <v>120</v>
      </c>
      <c r="O8" s="5">
        <v>120</v>
      </c>
      <c r="P8" s="5">
        <v>180</v>
      </c>
      <c r="Q8" s="5">
        <v>120</v>
      </c>
      <c r="R8" s="5">
        <v>350</v>
      </c>
      <c r="S8" s="5">
        <v>180</v>
      </c>
      <c r="T8" s="5">
        <v>350</v>
      </c>
      <c r="U8" s="5">
        <v>180</v>
      </c>
      <c r="V8" s="5">
        <v>200</v>
      </c>
      <c r="W8" s="5">
        <v>350</v>
      </c>
      <c r="X8" s="5">
        <v>350</v>
      </c>
      <c r="Y8" s="5">
        <v>200</v>
      </c>
      <c r="Z8" s="5">
        <v>200</v>
      </c>
      <c r="AA8" s="5">
        <v>200</v>
      </c>
      <c r="AB8" s="5">
        <v>80</v>
      </c>
      <c r="AC8" s="5">
        <v>80</v>
      </c>
      <c r="AD8" s="5">
        <v>80</v>
      </c>
      <c r="AE8" s="5">
        <v>80</v>
      </c>
      <c r="AF8" s="5">
        <v>80</v>
      </c>
      <c r="AG8" s="5">
        <v>80</v>
      </c>
      <c r="AH8" s="5">
        <v>80</v>
      </c>
      <c r="AI8" s="5">
        <v>80</v>
      </c>
      <c r="AJ8" s="5">
        <v>80</v>
      </c>
      <c r="AK8" s="5">
        <v>80</v>
      </c>
      <c r="AL8" s="5">
        <v>80</v>
      </c>
      <c r="AM8" s="5">
        <v>140</v>
      </c>
      <c r="AN8" s="5">
        <v>250</v>
      </c>
      <c r="AO8" s="5">
        <v>250</v>
      </c>
      <c r="AP8" s="5">
        <v>250</v>
      </c>
      <c r="AQ8" s="5">
        <v>250</v>
      </c>
      <c r="AR8" s="5">
        <v>250</v>
      </c>
      <c r="AS8" s="5">
        <v>250</v>
      </c>
      <c r="AT8" s="5">
        <v>250</v>
      </c>
      <c r="AU8" s="5">
        <v>250</v>
      </c>
      <c r="AV8" s="5">
        <v>250</v>
      </c>
      <c r="AW8" s="5">
        <v>250</v>
      </c>
      <c r="AX8" s="5">
        <v>250</v>
      </c>
      <c r="AY8" s="5">
        <v>250</v>
      </c>
      <c r="AZ8" s="5">
        <v>250</v>
      </c>
      <c r="BA8" s="5">
        <v>250</v>
      </c>
      <c r="BB8" s="5">
        <v>250</v>
      </c>
      <c r="BC8" s="5">
        <v>250</v>
      </c>
      <c r="BD8" s="5">
        <v>250</v>
      </c>
      <c r="BE8" s="5">
        <v>250</v>
      </c>
      <c r="BF8" s="5">
        <v>250</v>
      </c>
      <c r="BG8" s="5">
        <v>250</v>
      </c>
      <c r="BH8" s="5">
        <v>250</v>
      </c>
      <c r="BI8" s="5">
        <v>250</v>
      </c>
      <c r="BJ8" s="5">
        <v>250</v>
      </c>
      <c r="BK8" s="5">
        <v>250</v>
      </c>
      <c r="BL8" s="5">
        <v>250</v>
      </c>
      <c r="BM8" s="5">
        <v>250</v>
      </c>
      <c r="BN8" s="5">
        <v>250</v>
      </c>
      <c r="BO8" s="5">
        <v>150</v>
      </c>
      <c r="BP8" s="5">
        <v>150</v>
      </c>
      <c r="BQ8" s="5">
        <v>150</v>
      </c>
      <c r="BR8" s="5">
        <v>150</v>
      </c>
      <c r="BS8" s="5">
        <v>150</v>
      </c>
      <c r="BU8" s="5">
        <v>250</v>
      </c>
      <c r="BV8" s="5">
        <v>250</v>
      </c>
    </row>
    <row r="9" spans="1:74" x14ac:dyDescent="0.25">
      <c r="A9" t="s">
        <v>84</v>
      </c>
      <c r="B9" s="98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>
        <v>70</v>
      </c>
      <c r="AC9" s="5">
        <v>70</v>
      </c>
      <c r="AD9" s="5">
        <v>70</v>
      </c>
      <c r="AE9" s="5">
        <v>70</v>
      </c>
      <c r="AF9" s="5">
        <v>70</v>
      </c>
      <c r="AG9" s="5">
        <v>70</v>
      </c>
      <c r="AH9" s="5">
        <v>70</v>
      </c>
      <c r="AI9" s="5">
        <v>70</v>
      </c>
      <c r="AJ9" s="5">
        <v>70</v>
      </c>
      <c r="AK9" s="5">
        <v>70</v>
      </c>
      <c r="AL9" s="5">
        <v>70</v>
      </c>
      <c r="AM9" s="5">
        <v>120</v>
      </c>
      <c r="AN9" s="5">
        <v>200</v>
      </c>
      <c r="AO9" s="5">
        <v>200</v>
      </c>
      <c r="AP9" s="5">
        <v>200</v>
      </c>
      <c r="AQ9" s="5">
        <v>200</v>
      </c>
      <c r="AR9" s="5">
        <v>200</v>
      </c>
      <c r="AS9" s="5">
        <v>200</v>
      </c>
      <c r="AT9" s="5">
        <v>200</v>
      </c>
      <c r="AU9" s="5">
        <v>200</v>
      </c>
      <c r="AV9" s="5">
        <v>200</v>
      </c>
      <c r="AW9" s="5">
        <v>200</v>
      </c>
      <c r="AX9" s="5">
        <v>200</v>
      </c>
      <c r="AY9" s="5">
        <v>200</v>
      </c>
      <c r="AZ9" s="5">
        <v>200</v>
      </c>
      <c r="BA9" s="5">
        <v>200</v>
      </c>
      <c r="BB9" s="5">
        <v>200</v>
      </c>
      <c r="BC9" s="5">
        <v>200</v>
      </c>
      <c r="BD9" s="5">
        <v>200</v>
      </c>
      <c r="BE9" s="5">
        <v>200</v>
      </c>
      <c r="BF9" s="5">
        <v>200</v>
      </c>
      <c r="BG9" s="5">
        <v>200</v>
      </c>
      <c r="BH9" s="5">
        <v>200</v>
      </c>
      <c r="BI9" s="5">
        <v>200</v>
      </c>
      <c r="BJ9" s="5">
        <v>200</v>
      </c>
      <c r="BK9" s="5">
        <v>200</v>
      </c>
      <c r="BL9" s="5">
        <v>200</v>
      </c>
      <c r="BM9" s="5">
        <v>200</v>
      </c>
      <c r="BN9" s="5">
        <v>200</v>
      </c>
      <c r="BO9" s="5">
        <v>125</v>
      </c>
      <c r="BP9" s="5">
        <v>125</v>
      </c>
      <c r="BQ9" s="5">
        <v>125</v>
      </c>
      <c r="BR9" s="5">
        <v>125</v>
      </c>
      <c r="BS9" s="5">
        <v>125</v>
      </c>
      <c r="BU9" s="5">
        <v>200</v>
      </c>
      <c r="BV9" s="5">
        <v>200</v>
      </c>
    </row>
    <row r="10" spans="1:74" x14ac:dyDescent="0.25">
      <c r="A10" t="s">
        <v>70</v>
      </c>
      <c r="B10" s="98"/>
      <c r="C10" s="5">
        <v>320</v>
      </c>
      <c r="D10" s="5">
        <v>380</v>
      </c>
      <c r="E10" s="5">
        <v>380</v>
      </c>
      <c r="F10" s="5">
        <v>580</v>
      </c>
      <c r="G10" s="5">
        <v>950</v>
      </c>
      <c r="H10" s="5">
        <v>950</v>
      </c>
      <c r="I10" s="5">
        <v>950</v>
      </c>
      <c r="J10" s="5">
        <v>500</v>
      </c>
      <c r="K10" s="5">
        <v>500</v>
      </c>
      <c r="L10" s="5">
        <v>520</v>
      </c>
      <c r="M10" s="5">
        <v>520</v>
      </c>
      <c r="N10" s="5">
        <v>500</v>
      </c>
      <c r="O10" s="5">
        <v>500</v>
      </c>
      <c r="P10" s="5">
        <v>500</v>
      </c>
      <c r="Q10" s="5">
        <v>500</v>
      </c>
      <c r="R10" s="5">
        <v>800</v>
      </c>
      <c r="S10" s="5">
        <v>850</v>
      </c>
      <c r="T10" s="5">
        <v>800</v>
      </c>
      <c r="U10" s="5">
        <v>850</v>
      </c>
      <c r="V10" s="5">
        <v>850</v>
      </c>
      <c r="W10" s="5">
        <v>800</v>
      </c>
      <c r="X10" s="5">
        <v>800</v>
      </c>
      <c r="Y10" s="5">
        <v>1000</v>
      </c>
      <c r="Z10" s="5">
        <v>1000</v>
      </c>
      <c r="AA10" s="5">
        <v>1000</v>
      </c>
      <c r="AB10" s="5">
        <v>500</v>
      </c>
      <c r="AC10" s="5">
        <v>500</v>
      </c>
      <c r="AD10" s="5">
        <v>500</v>
      </c>
      <c r="AE10" s="5">
        <v>500</v>
      </c>
      <c r="AF10" s="5">
        <v>500</v>
      </c>
      <c r="AG10" s="5">
        <v>500</v>
      </c>
      <c r="AH10" s="5">
        <v>500</v>
      </c>
      <c r="AI10" s="5">
        <v>500</v>
      </c>
      <c r="AJ10" s="5">
        <v>550</v>
      </c>
      <c r="AK10" s="5">
        <v>550</v>
      </c>
      <c r="AL10" s="5">
        <v>550</v>
      </c>
      <c r="AM10" s="5">
        <v>850</v>
      </c>
      <c r="AN10" s="5">
        <v>800</v>
      </c>
      <c r="AO10" s="5">
        <v>800</v>
      </c>
      <c r="AP10" s="5">
        <v>800</v>
      </c>
      <c r="AQ10" s="5">
        <v>850</v>
      </c>
      <c r="AR10" s="5">
        <v>850</v>
      </c>
      <c r="AS10" s="5">
        <v>850</v>
      </c>
      <c r="AT10" s="5">
        <v>850</v>
      </c>
      <c r="AU10" s="5">
        <v>850</v>
      </c>
      <c r="AV10" s="5">
        <v>850</v>
      </c>
      <c r="AW10" s="5">
        <v>850</v>
      </c>
      <c r="AX10" s="5">
        <v>850</v>
      </c>
      <c r="AY10" s="5">
        <v>850</v>
      </c>
      <c r="AZ10" s="5">
        <v>850</v>
      </c>
      <c r="BA10" s="5">
        <v>850</v>
      </c>
      <c r="BB10" s="5">
        <v>850</v>
      </c>
      <c r="BC10" s="5">
        <v>850</v>
      </c>
      <c r="BD10" s="5">
        <v>850</v>
      </c>
      <c r="BE10" s="5">
        <v>850</v>
      </c>
      <c r="BF10" s="5">
        <v>700</v>
      </c>
      <c r="BG10" s="5">
        <v>700</v>
      </c>
      <c r="BH10" s="5">
        <v>700</v>
      </c>
      <c r="BI10" s="5">
        <v>700</v>
      </c>
      <c r="BJ10" s="5">
        <v>700</v>
      </c>
      <c r="BK10" s="5">
        <v>700</v>
      </c>
      <c r="BL10" s="5">
        <v>700</v>
      </c>
      <c r="BM10" s="5">
        <v>700</v>
      </c>
      <c r="BN10" s="5">
        <v>700</v>
      </c>
      <c r="BO10" s="5">
        <v>425</v>
      </c>
      <c r="BP10" s="5">
        <v>425</v>
      </c>
      <c r="BQ10" s="5">
        <v>425</v>
      </c>
      <c r="BR10" s="5">
        <v>425</v>
      </c>
      <c r="BS10" s="5">
        <v>425</v>
      </c>
      <c r="BU10" s="5">
        <v>700</v>
      </c>
      <c r="BV10" s="5">
        <v>850</v>
      </c>
    </row>
    <row r="11" spans="1:74" x14ac:dyDescent="0.25">
      <c r="A11" t="s">
        <v>193</v>
      </c>
      <c r="B11" s="98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>
        <v>300</v>
      </c>
      <c r="AC11" s="5">
        <v>300</v>
      </c>
      <c r="AD11" s="5">
        <v>300</v>
      </c>
      <c r="AE11" s="5">
        <v>300</v>
      </c>
      <c r="AF11" s="5">
        <v>300</v>
      </c>
      <c r="AG11" s="5">
        <v>300</v>
      </c>
      <c r="AH11" s="5">
        <v>300</v>
      </c>
      <c r="AI11" s="5">
        <v>300</v>
      </c>
      <c r="AJ11" s="5">
        <v>300</v>
      </c>
      <c r="AK11" s="5">
        <v>300</v>
      </c>
      <c r="AL11" s="5">
        <v>300</v>
      </c>
      <c r="AM11" s="5">
        <v>660</v>
      </c>
      <c r="AN11" s="5">
        <v>660</v>
      </c>
      <c r="AO11" s="5">
        <v>660</v>
      </c>
      <c r="AP11" s="5">
        <v>660</v>
      </c>
      <c r="AQ11" s="5">
        <v>660</v>
      </c>
      <c r="AR11" s="5">
        <v>660</v>
      </c>
      <c r="AS11" s="5">
        <v>660</v>
      </c>
      <c r="AT11" s="5">
        <v>660</v>
      </c>
      <c r="AU11" s="5">
        <v>660</v>
      </c>
      <c r="AV11" s="5">
        <v>660</v>
      </c>
      <c r="AW11" s="5">
        <v>660</v>
      </c>
      <c r="AX11" s="5">
        <v>660</v>
      </c>
      <c r="AY11" s="5">
        <v>660</v>
      </c>
      <c r="AZ11" s="11">
        <v>660</v>
      </c>
      <c r="BA11" s="11">
        <v>660</v>
      </c>
      <c r="BB11" s="11">
        <v>660</v>
      </c>
      <c r="BC11" s="5">
        <v>660</v>
      </c>
      <c r="BD11" s="5">
        <v>660</v>
      </c>
      <c r="BE11" s="5">
        <v>660</v>
      </c>
      <c r="BF11" s="5">
        <v>360</v>
      </c>
      <c r="BG11" s="5">
        <v>360</v>
      </c>
      <c r="BH11" s="5">
        <v>360</v>
      </c>
      <c r="BI11" s="5">
        <v>360</v>
      </c>
      <c r="BJ11" s="5">
        <v>360</v>
      </c>
      <c r="BK11" s="5">
        <v>360</v>
      </c>
      <c r="BL11" s="5">
        <v>360</v>
      </c>
      <c r="BM11" s="5">
        <v>360</v>
      </c>
      <c r="BN11" s="5">
        <v>360</v>
      </c>
      <c r="BO11" s="5">
        <v>350</v>
      </c>
      <c r="BP11" s="5">
        <v>350</v>
      </c>
      <c r="BQ11" s="5">
        <v>350</v>
      </c>
      <c r="BR11" s="5">
        <v>350</v>
      </c>
      <c r="BS11" s="5">
        <v>350</v>
      </c>
      <c r="BU11" s="5">
        <v>360</v>
      </c>
      <c r="BV11" s="5">
        <v>660</v>
      </c>
    </row>
    <row r="12" spans="1:74" x14ac:dyDescent="0.25">
      <c r="A12" t="s">
        <v>60</v>
      </c>
      <c r="B12" s="98"/>
      <c r="C12" s="5">
        <v>1</v>
      </c>
      <c r="D12" s="5">
        <v>1</v>
      </c>
      <c r="E12" s="5">
        <v>1</v>
      </c>
      <c r="F12" s="5">
        <v>2</v>
      </c>
      <c r="G12" s="5">
        <v>2</v>
      </c>
      <c r="H12" s="5">
        <v>2</v>
      </c>
      <c r="I12" s="5">
        <v>2</v>
      </c>
      <c r="J12" s="5">
        <v>1</v>
      </c>
      <c r="K12" s="5">
        <v>1</v>
      </c>
      <c r="L12" s="5">
        <v>2</v>
      </c>
      <c r="M12" s="5">
        <v>2</v>
      </c>
      <c r="N12" s="5">
        <v>3</v>
      </c>
      <c r="O12" s="5">
        <v>3</v>
      </c>
      <c r="P12" s="5">
        <v>2</v>
      </c>
      <c r="Q12" s="5">
        <v>3</v>
      </c>
      <c r="R12" s="5">
        <v>2</v>
      </c>
      <c r="S12" s="5">
        <v>2</v>
      </c>
      <c r="T12" s="5">
        <v>2</v>
      </c>
      <c r="U12" s="5">
        <v>2</v>
      </c>
      <c r="V12" s="5">
        <v>2</v>
      </c>
      <c r="W12" s="5">
        <v>4</v>
      </c>
      <c r="X12" s="5">
        <v>4</v>
      </c>
      <c r="Y12" s="5">
        <v>4</v>
      </c>
      <c r="Z12" s="5">
        <v>4</v>
      </c>
      <c r="AA12" s="5">
        <v>4</v>
      </c>
      <c r="AB12" s="5">
        <v>1</v>
      </c>
      <c r="AC12" s="5">
        <v>2</v>
      </c>
      <c r="AD12" s="5">
        <v>2</v>
      </c>
      <c r="AE12" s="5">
        <v>2</v>
      </c>
      <c r="AF12" s="5">
        <v>2</v>
      </c>
      <c r="AG12" s="5">
        <v>2</v>
      </c>
      <c r="AH12" s="5">
        <v>2</v>
      </c>
      <c r="AI12" s="5">
        <v>2</v>
      </c>
      <c r="AJ12" s="5">
        <v>2</v>
      </c>
      <c r="AK12" s="5">
        <v>2</v>
      </c>
      <c r="AL12" s="5">
        <v>2</v>
      </c>
      <c r="AM12" s="5">
        <v>2</v>
      </c>
      <c r="AN12" s="5">
        <v>2</v>
      </c>
      <c r="AO12" s="5">
        <v>2</v>
      </c>
      <c r="AP12" s="5">
        <v>2</v>
      </c>
      <c r="AQ12" s="5">
        <v>2</v>
      </c>
      <c r="AR12" s="5">
        <v>2</v>
      </c>
      <c r="AS12" s="5">
        <v>2</v>
      </c>
      <c r="AT12" s="5">
        <v>2</v>
      </c>
      <c r="AU12" s="5">
        <v>3</v>
      </c>
      <c r="AV12" s="5">
        <v>3</v>
      </c>
      <c r="AW12" s="5">
        <v>4</v>
      </c>
      <c r="AX12" s="5">
        <v>4</v>
      </c>
      <c r="AY12" s="5">
        <v>4</v>
      </c>
      <c r="AZ12" s="5">
        <v>4</v>
      </c>
      <c r="BA12" s="5">
        <v>6</v>
      </c>
      <c r="BB12" s="5">
        <v>6</v>
      </c>
      <c r="BC12" s="5">
        <v>6</v>
      </c>
      <c r="BD12" s="5">
        <v>6</v>
      </c>
      <c r="BE12" s="5">
        <v>6</v>
      </c>
      <c r="BF12" s="5">
        <v>2</v>
      </c>
      <c r="BG12" s="5">
        <v>2</v>
      </c>
      <c r="BH12" s="5">
        <v>2</v>
      </c>
      <c r="BI12" s="5">
        <v>2</v>
      </c>
      <c r="BJ12" s="5">
        <v>3</v>
      </c>
      <c r="BK12" s="5">
        <v>4</v>
      </c>
      <c r="BL12" s="5">
        <v>4</v>
      </c>
      <c r="BM12" s="5">
        <v>4</v>
      </c>
      <c r="BN12" s="5">
        <v>4</v>
      </c>
      <c r="BO12" s="5">
        <v>2</v>
      </c>
      <c r="BP12" s="5">
        <v>2</v>
      </c>
      <c r="BQ12" s="5">
        <v>2</v>
      </c>
      <c r="BR12" s="5">
        <v>2</v>
      </c>
      <c r="BS12" s="5">
        <v>2</v>
      </c>
      <c r="BU12" s="5">
        <v>4</v>
      </c>
      <c r="BV12" s="5">
        <v>2</v>
      </c>
    </row>
    <row r="13" spans="1:74" x14ac:dyDescent="0.25">
      <c r="A13" t="s">
        <v>77</v>
      </c>
      <c r="B13" s="98"/>
      <c r="C13" s="5">
        <v>1</v>
      </c>
      <c r="D13" s="5">
        <v>1</v>
      </c>
      <c r="E13" s="5">
        <v>1</v>
      </c>
      <c r="F13" s="5">
        <v>1</v>
      </c>
      <c r="G13" s="5">
        <v>1</v>
      </c>
      <c r="H13" s="5">
        <v>2</v>
      </c>
      <c r="I13" s="5">
        <v>2</v>
      </c>
      <c r="J13" s="5">
        <v>1</v>
      </c>
      <c r="K13" s="5">
        <v>1</v>
      </c>
      <c r="L13" s="5">
        <v>1</v>
      </c>
      <c r="M13" s="5">
        <v>1</v>
      </c>
      <c r="N13" s="5">
        <v>1</v>
      </c>
      <c r="O13" s="5">
        <v>1</v>
      </c>
      <c r="P13" s="5">
        <v>2</v>
      </c>
      <c r="Q13" s="5">
        <v>1</v>
      </c>
      <c r="R13" s="5">
        <v>2</v>
      </c>
      <c r="S13" s="5">
        <v>2</v>
      </c>
      <c r="T13" s="5">
        <v>2</v>
      </c>
      <c r="U13" s="5">
        <v>2</v>
      </c>
      <c r="V13" s="5">
        <v>3</v>
      </c>
      <c r="W13" s="5">
        <v>2</v>
      </c>
      <c r="X13" s="5">
        <v>2</v>
      </c>
      <c r="Y13" s="5">
        <v>2</v>
      </c>
      <c r="Z13" s="5">
        <v>3</v>
      </c>
      <c r="AA13" s="5">
        <v>3</v>
      </c>
      <c r="AB13" s="5">
        <v>1</v>
      </c>
      <c r="AC13" s="5">
        <v>1</v>
      </c>
      <c r="AD13" s="5">
        <v>1</v>
      </c>
      <c r="AE13" s="5">
        <v>1</v>
      </c>
      <c r="AF13" s="5">
        <v>1</v>
      </c>
      <c r="AG13" s="5">
        <v>1</v>
      </c>
      <c r="AH13" s="5">
        <v>1</v>
      </c>
      <c r="AI13" s="5">
        <v>1</v>
      </c>
      <c r="AJ13" s="5">
        <v>2</v>
      </c>
      <c r="AK13" s="5">
        <v>2</v>
      </c>
      <c r="AL13" s="5">
        <v>2</v>
      </c>
      <c r="AM13" s="5">
        <v>1</v>
      </c>
      <c r="AN13" s="5">
        <v>1</v>
      </c>
      <c r="AO13" s="5">
        <v>1</v>
      </c>
      <c r="AP13" s="5">
        <v>2</v>
      </c>
      <c r="AQ13" s="5">
        <v>2</v>
      </c>
      <c r="AR13" s="5">
        <v>3</v>
      </c>
      <c r="AS13" s="5">
        <v>3</v>
      </c>
      <c r="AT13" s="5">
        <v>3</v>
      </c>
      <c r="AU13" s="5">
        <v>3</v>
      </c>
      <c r="AV13" s="5">
        <v>3</v>
      </c>
      <c r="AW13" s="5">
        <v>3</v>
      </c>
      <c r="AX13" s="5">
        <v>3</v>
      </c>
      <c r="AY13" s="5">
        <v>4</v>
      </c>
      <c r="AZ13" s="5">
        <v>4</v>
      </c>
      <c r="BA13" s="5">
        <v>4</v>
      </c>
      <c r="BB13" s="5">
        <v>4</v>
      </c>
      <c r="BC13" s="5">
        <v>4</v>
      </c>
      <c r="BD13" s="5">
        <v>4</v>
      </c>
      <c r="BE13" s="5">
        <v>4</v>
      </c>
      <c r="BF13" s="5">
        <v>2</v>
      </c>
      <c r="BG13" s="5">
        <v>2</v>
      </c>
      <c r="BH13" s="5">
        <v>3</v>
      </c>
      <c r="BI13" s="5">
        <v>3</v>
      </c>
      <c r="BJ13" s="5">
        <v>3</v>
      </c>
      <c r="BK13" s="5">
        <v>3</v>
      </c>
      <c r="BL13" s="5">
        <v>3</v>
      </c>
      <c r="BM13" s="5">
        <v>4</v>
      </c>
      <c r="BN13" s="5">
        <v>4</v>
      </c>
      <c r="BO13" s="5">
        <v>1</v>
      </c>
      <c r="BP13" s="5">
        <v>1</v>
      </c>
      <c r="BQ13" s="5">
        <v>1</v>
      </c>
      <c r="BR13" s="5">
        <v>2</v>
      </c>
      <c r="BS13" s="5">
        <v>2</v>
      </c>
      <c r="BU13" s="5">
        <v>3</v>
      </c>
      <c r="BV13" s="5">
        <v>3</v>
      </c>
    </row>
    <row r="14" spans="1:74" x14ac:dyDescent="0.25">
      <c r="A14" s="10" t="s">
        <v>85</v>
      </c>
      <c r="B14" s="98"/>
      <c r="C14" s="5">
        <v>10</v>
      </c>
      <c r="D14" s="5">
        <v>10</v>
      </c>
      <c r="E14" s="5">
        <v>10</v>
      </c>
      <c r="F14" s="5">
        <v>11</v>
      </c>
      <c r="G14" s="5">
        <v>11</v>
      </c>
      <c r="H14" s="5">
        <v>22</v>
      </c>
      <c r="I14" s="5">
        <v>22</v>
      </c>
      <c r="J14" s="5">
        <v>11</v>
      </c>
      <c r="K14" s="5">
        <v>11</v>
      </c>
      <c r="L14" s="5">
        <v>11</v>
      </c>
      <c r="M14" s="5">
        <v>11</v>
      </c>
      <c r="N14" s="5">
        <v>11</v>
      </c>
      <c r="O14" s="5">
        <v>11</v>
      </c>
      <c r="P14" s="5">
        <v>22</v>
      </c>
      <c r="Q14" s="5">
        <v>11</v>
      </c>
      <c r="R14" s="5">
        <v>22</v>
      </c>
      <c r="S14" s="5">
        <v>22</v>
      </c>
      <c r="T14" s="5">
        <v>22</v>
      </c>
      <c r="U14" s="5">
        <v>22</v>
      </c>
      <c r="V14" s="5">
        <v>33</v>
      </c>
      <c r="W14" s="5">
        <v>22</v>
      </c>
      <c r="X14" s="5">
        <v>22</v>
      </c>
      <c r="Y14" s="5">
        <v>22</v>
      </c>
      <c r="Z14" s="5">
        <v>33</v>
      </c>
      <c r="AA14" s="5">
        <v>33</v>
      </c>
      <c r="AB14" s="5">
        <v>13</v>
      </c>
      <c r="AC14" s="5">
        <v>13</v>
      </c>
      <c r="AD14" s="5">
        <v>13</v>
      </c>
      <c r="AE14" s="5">
        <v>13</v>
      </c>
      <c r="AF14" s="5">
        <v>13</v>
      </c>
      <c r="AG14" s="5">
        <v>13</v>
      </c>
      <c r="AH14" s="5">
        <v>13</v>
      </c>
      <c r="AI14" s="5">
        <v>13</v>
      </c>
      <c r="AJ14" s="5">
        <v>26</v>
      </c>
      <c r="AK14" s="5">
        <v>26</v>
      </c>
      <c r="AL14" s="5">
        <v>26</v>
      </c>
      <c r="AM14" s="5">
        <v>13</v>
      </c>
      <c r="AN14" s="5">
        <v>13</v>
      </c>
      <c r="AO14" s="5">
        <v>11</v>
      </c>
      <c r="AP14" s="5">
        <v>32</v>
      </c>
      <c r="AQ14" s="5">
        <v>32</v>
      </c>
      <c r="AR14" s="5">
        <v>32</v>
      </c>
      <c r="AS14" s="5">
        <v>33</v>
      </c>
      <c r="AT14" s="5">
        <v>40</v>
      </c>
      <c r="AU14" s="5">
        <v>40</v>
      </c>
      <c r="AV14" s="5">
        <v>40</v>
      </c>
      <c r="AW14" s="5">
        <v>40</v>
      </c>
      <c r="AX14" s="5">
        <v>40</v>
      </c>
      <c r="AY14" s="5">
        <v>40</v>
      </c>
      <c r="AZ14" s="5">
        <v>40</v>
      </c>
      <c r="BA14" s="5">
        <v>40</v>
      </c>
      <c r="BB14" s="5">
        <v>40</v>
      </c>
      <c r="BC14" s="5">
        <v>40</v>
      </c>
      <c r="BD14" s="5">
        <v>40</v>
      </c>
      <c r="BE14" s="5">
        <v>40</v>
      </c>
      <c r="BF14" s="5">
        <v>32</v>
      </c>
      <c r="BG14" s="5">
        <v>32</v>
      </c>
      <c r="BH14" s="5">
        <v>32</v>
      </c>
      <c r="BI14" s="5">
        <v>40</v>
      </c>
      <c r="BJ14" s="5">
        <v>30</v>
      </c>
      <c r="BK14" s="5">
        <v>40</v>
      </c>
      <c r="BL14" s="5">
        <v>33</v>
      </c>
      <c r="BM14" s="5">
        <v>40</v>
      </c>
      <c r="BN14" s="5">
        <v>40</v>
      </c>
      <c r="BO14" s="5">
        <v>13</v>
      </c>
      <c r="BP14" s="5">
        <v>13</v>
      </c>
      <c r="BQ14" s="5">
        <v>13</v>
      </c>
      <c r="BR14" s="5">
        <v>26</v>
      </c>
      <c r="BS14" s="5">
        <v>26</v>
      </c>
      <c r="BU14" s="5">
        <v>33</v>
      </c>
      <c r="BV14" s="5">
        <v>33</v>
      </c>
    </row>
    <row r="15" spans="1:74" x14ac:dyDescent="0.25">
      <c r="A15" t="s">
        <v>78</v>
      </c>
      <c r="B15" s="98"/>
      <c r="C15" s="5"/>
      <c r="D15" s="5"/>
      <c r="E15" s="5"/>
      <c r="F15" s="5">
        <v>1</v>
      </c>
      <c r="G15" s="5">
        <v>1</v>
      </c>
      <c r="H15" s="5">
        <v>2</v>
      </c>
      <c r="I15" s="5">
        <v>2</v>
      </c>
      <c r="J15" s="5"/>
      <c r="K15" s="5"/>
      <c r="L15" s="5">
        <v>1</v>
      </c>
      <c r="M15" s="5">
        <v>1</v>
      </c>
      <c r="N15" s="5">
        <v>1</v>
      </c>
      <c r="O15" s="5">
        <v>1</v>
      </c>
      <c r="P15" s="5">
        <v>2</v>
      </c>
      <c r="Q15" s="5">
        <v>1</v>
      </c>
      <c r="R15" s="5">
        <v>2</v>
      </c>
      <c r="S15" s="5">
        <v>2</v>
      </c>
      <c r="T15" s="5">
        <v>2</v>
      </c>
      <c r="U15" s="5">
        <v>2</v>
      </c>
      <c r="V15" s="5">
        <v>3</v>
      </c>
      <c r="W15" s="5">
        <v>2</v>
      </c>
      <c r="X15" s="5">
        <v>2</v>
      </c>
      <c r="Y15" s="5">
        <v>2</v>
      </c>
      <c r="Z15" s="5">
        <v>3</v>
      </c>
      <c r="AA15" s="5">
        <v>3</v>
      </c>
      <c r="AB15" s="5"/>
      <c r="AC15" s="5">
        <v>1</v>
      </c>
      <c r="AD15" s="5">
        <v>1</v>
      </c>
      <c r="AE15" s="5">
        <v>1</v>
      </c>
      <c r="AF15" s="5">
        <v>1</v>
      </c>
      <c r="AG15" s="5">
        <v>2</v>
      </c>
      <c r="AH15" s="5">
        <v>2</v>
      </c>
      <c r="AI15" s="5">
        <v>2</v>
      </c>
      <c r="AJ15" s="5">
        <v>2</v>
      </c>
      <c r="AK15" s="5">
        <v>2</v>
      </c>
      <c r="AL15" s="5">
        <v>2</v>
      </c>
      <c r="AM15" s="5">
        <v>1</v>
      </c>
      <c r="AN15" s="5">
        <v>1</v>
      </c>
      <c r="AO15" s="5">
        <v>2</v>
      </c>
      <c r="AP15" s="5">
        <v>2</v>
      </c>
      <c r="AQ15" s="5">
        <v>2</v>
      </c>
      <c r="AR15" s="5">
        <v>3</v>
      </c>
      <c r="AS15" s="5">
        <v>3</v>
      </c>
      <c r="AT15" s="5">
        <v>3</v>
      </c>
      <c r="AU15" s="5">
        <v>3</v>
      </c>
      <c r="AV15" s="5">
        <v>3</v>
      </c>
      <c r="AW15" s="5">
        <v>3</v>
      </c>
      <c r="AX15" s="5">
        <v>3</v>
      </c>
      <c r="AY15" s="5">
        <v>4</v>
      </c>
      <c r="AZ15" s="5">
        <v>4</v>
      </c>
      <c r="BA15" s="5">
        <v>4</v>
      </c>
      <c r="BB15" s="5">
        <v>4</v>
      </c>
      <c r="BC15" s="5">
        <v>4</v>
      </c>
      <c r="BD15" s="5">
        <v>4</v>
      </c>
      <c r="BE15" s="5">
        <v>4</v>
      </c>
      <c r="BF15" s="5">
        <v>2</v>
      </c>
      <c r="BG15" s="5">
        <v>2</v>
      </c>
      <c r="BH15" s="5">
        <v>3</v>
      </c>
      <c r="BI15" s="5">
        <v>3</v>
      </c>
      <c r="BJ15" s="5">
        <v>3</v>
      </c>
      <c r="BK15" s="5">
        <v>3</v>
      </c>
      <c r="BL15" s="5">
        <v>3</v>
      </c>
      <c r="BM15" s="5">
        <v>4</v>
      </c>
      <c r="BN15" s="5">
        <v>4</v>
      </c>
      <c r="BO15" s="5">
        <v>1</v>
      </c>
      <c r="BP15" s="5">
        <v>1</v>
      </c>
      <c r="BQ15" s="5">
        <v>1</v>
      </c>
      <c r="BR15" s="5">
        <v>2</v>
      </c>
      <c r="BS15" s="5">
        <v>2</v>
      </c>
      <c r="BU15" s="5">
        <v>3</v>
      </c>
      <c r="BV15" s="5">
        <v>3</v>
      </c>
    </row>
    <row r="16" spans="1:74" x14ac:dyDescent="0.25">
      <c r="A16" s="10" t="s">
        <v>86</v>
      </c>
      <c r="B16" s="98"/>
      <c r="C16" s="5"/>
      <c r="D16" s="5"/>
      <c r="E16" s="5"/>
      <c r="F16" s="5">
        <v>11</v>
      </c>
      <c r="G16" s="5">
        <v>11</v>
      </c>
      <c r="H16" s="5">
        <v>22</v>
      </c>
      <c r="I16" s="5">
        <v>22</v>
      </c>
      <c r="J16" s="5"/>
      <c r="K16" s="5"/>
      <c r="L16" s="5">
        <v>11</v>
      </c>
      <c r="M16" s="5">
        <v>11</v>
      </c>
      <c r="N16" s="5">
        <v>11</v>
      </c>
      <c r="O16" s="5">
        <v>11</v>
      </c>
      <c r="P16" s="5">
        <v>22</v>
      </c>
      <c r="Q16" s="5">
        <v>11</v>
      </c>
      <c r="R16" s="5">
        <v>22</v>
      </c>
      <c r="S16" s="5">
        <v>22</v>
      </c>
      <c r="T16" s="5">
        <v>22</v>
      </c>
      <c r="U16" s="5">
        <v>22</v>
      </c>
      <c r="V16" s="5">
        <v>33</v>
      </c>
      <c r="W16" s="5">
        <v>22</v>
      </c>
      <c r="X16" s="5">
        <v>22</v>
      </c>
      <c r="Y16" s="5">
        <v>22</v>
      </c>
      <c r="Z16" s="5">
        <v>33</v>
      </c>
      <c r="AA16" s="5">
        <v>33</v>
      </c>
      <c r="AB16" s="5"/>
      <c r="AC16" s="5">
        <v>13</v>
      </c>
      <c r="AD16" s="5">
        <v>13</v>
      </c>
      <c r="AE16" s="5">
        <v>13</v>
      </c>
      <c r="AF16" s="5">
        <v>13</v>
      </c>
      <c r="AG16" s="5">
        <v>26</v>
      </c>
      <c r="AH16" s="5">
        <v>26</v>
      </c>
      <c r="AI16" s="5">
        <v>26</v>
      </c>
      <c r="AJ16" s="5">
        <v>26</v>
      </c>
      <c r="AK16" s="5">
        <v>26</v>
      </c>
      <c r="AL16" s="5">
        <v>26</v>
      </c>
      <c r="AM16" s="5">
        <v>13</v>
      </c>
      <c r="AN16" s="5">
        <v>13</v>
      </c>
      <c r="AO16" s="5">
        <v>22</v>
      </c>
      <c r="AP16" s="5">
        <v>32</v>
      </c>
      <c r="AQ16" s="5">
        <v>32</v>
      </c>
      <c r="AR16" s="5">
        <v>32</v>
      </c>
      <c r="AS16" s="5">
        <v>33</v>
      </c>
      <c r="AT16" s="5">
        <v>40</v>
      </c>
      <c r="AU16" s="5">
        <v>40</v>
      </c>
      <c r="AV16" s="5">
        <v>40</v>
      </c>
      <c r="AW16" s="5">
        <v>40</v>
      </c>
      <c r="AX16" s="5">
        <v>40</v>
      </c>
      <c r="AY16" s="5">
        <v>40</v>
      </c>
      <c r="AZ16" s="5">
        <v>40</v>
      </c>
      <c r="BA16" s="5">
        <v>40</v>
      </c>
      <c r="BB16" s="5">
        <v>40</v>
      </c>
      <c r="BC16" s="5">
        <v>40</v>
      </c>
      <c r="BD16" s="5">
        <v>40</v>
      </c>
      <c r="BE16" s="5">
        <v>40</v>
      </c>
      <c r="BF16" s="5">
        <v>32</v>
      </c>
      <c r="BG16" s="5">
        <v>32</v>
      </c>
      <c r="BH16" s="5">
        <v>32</v>
      </c>
      <c r="BI16" s="5">
        <v>40</v>
      </c>
      <c r="BJ16" s="5">
        <v>30</v>
      </c>
      <c r="BK16" s="5">
        <v>40</v>
      </c>
      <c r="BL16" s="5">
        <v>33</v>
      </c>
      <c r="BM16" s="5">
        <v>40</v>
      </c>
      <c r="BN16" s="5">
        <v>40</v>
      </c>
      <c r="BO16" s="5">
        <v>13</v>
      </c>
      <c r="BP16" s="5">
        <v>13</v>
      </c>
      <c r="BQ16" s="5">
        <v>13</v>
      </c>
      <c r="BR16" s="5">
        <v>26</v>
      </c>
      <c r="BS16" s="5">
        <v>26</v>
      </c>
      <c r="BU16" s="5">
        <v>33</v>
      </c>
      <c r="BV16" s="5">
        <v>33</v>
      </c>
    </row>
    <row r="17" spans="1:74" x14ac:dyDescent="0.25">
      <c r="A17" t="s">
        <v>79</v>
      </c>
      <c r="B17" s="9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>
        <v>1</v>
      </c>
      <c r="O17" s="5">
        <v>1</v>
      </c>
      <c r="P17" s="5"/>
      <c r="Q17" s="5">
        <v>1</v>
      </c>
      <c r="R17" s="5"/>
      <c r="S17" s="5"/>
      <c r="T17" s="5"/>
      <c r="U17" s="5"/>
      <c r="V17" s="5"/>
      <c r="W17" s="5">
        <v>2</v>
      </c>
      <c r="X17" s="5">
        <v>2</v>
      </c>
      <c r="Y17" s="5">
        <v>2</v>
      </c>
      <c r="Z17" s="5">
        <v>3</v>
      </c>
      <c r="AA17" s="5">
        <v>3</v>
      </c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>
        <v>3</v>
      </c>
      <c r="AV17" s="5">
        <v>3</v>
      </c>
      <c r="AW17" s="5">
        <v>3</v>
      </c>
      <c r="AX17" s="5">
        <v>3</v>
      </c>
      <c r="AY17" s="5">
        <v>4</v>
      </c>
      <c r="AZ17" s="5">
        <v>4</v>
      </c>
      <c r="BA17" s="5">
        <v>4</v>
      </c>
      <c r="BB17" s="5">
        <v>4</v>
      </c>
      <c r="BC17" s="5">
        <v>4</v>
      </c>
      <c r="BD17" s="5">
        <v>4</v>
      </c>
      <c r="BE17" s="5">
        <v>4</v>
      </c>
      <c r="BF17" s="5"/>
      <c r="BG17" s="5"/>
      <c r="BH17" s="5"/>
      <c r="BI17" s="5"/>
      <c r="BJ17" s="5">
        <v>3</v>
      </c>
      <c r="BK17" s="5">
        <v>3</v>
      </c>
      <c r="BL17" s="5">
        <v>3</v>
      </c>
      <c r="BM17" s="5">
        <v>4</v>
      </c>
      <c r="BN17" s="5">
        <v>4</v>
      </c>
      <c r="BU17" s="5">
        <v>3</v>
      </c>
      <c r="BV17" s="5"/>
    </row>
    <row r="18" spans="1:74" x14ac:dyDescent="0.25">
      <c r="A18" s="10" t="s">
        <v>87</v>
      </c>
      <c r="B18" s="9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>
        <v>11</v>
      </c>
      <c r="O18" s="5">
        <v>11</v>
      </c>
      <c r="P18" s="5"/>
      <c r="Q18" s="5">
        <v>11</v>
      </c>
      <c r="R18" s="5"/>
      <c r="S18" s="5"/>
      <c r="T18" s="5"/>
      <c r="U18" s="5"/>
      <c r="V18" s="5"/>
      <c r="W18" s="5">
        <v>22</v>
      </c>
      <c r="X18" s="5">
        <v>22</v>
      </c>
      <c r="Y18" s="5">
        <v>22</v>
      </c>
      <c r="Z18" s="5">
        <v>33</v>
      </c>
      <c r="AA18" s="5">
        <v>33</v>
      </c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>
        <v>40</v>
      </c>
      <c r="AV18" s="5">
        <v>40</v>
      </c>
      <c r="AW18" s="5">
        <v>40</v>
      </c>
      <c r="AX18" s="5">
        <v>40</v>
      </c>
      <c r="AY18" s="5">
        <v>40</v>
      </c>
      <c r="AZ18" s="5">
        <v>40</v>
      </c>
      <c r="BA18" s="5">
        <v>40</v>
      </c>
      <c r="BB18" s="5">
        <v>40</v>
      </c>
      <c r="BC18" s="5">
        <v>40</v>
      </c>
      <c r="BD18" s="5">
        <v>40</v>
      </c>
      <c r="BE18" s="5">
        <v>40</v>
      </c>
      <c r="BF18" s="5"/>
      <c r="BG18" s="5"/>
      <c r="BH18" s="5"/>
      <c r="BI18" s="5"/>
      <c r="BJ18" s="5">
        <v>30</v>
      </c>
      <c r="BK18" s="5">
        <v>40</v>
      </c>
      <c r="BL18" s="5">
        <v>33</v>
      </c>
      <c r="BM18" s="5">
        <v>40</v>
      </c>
      <c r="BN18" s="5">
        <v>40</v>
      </c>
      <c r="BU18" s="5">
        <v>33</v>
      </c>
      <c r="BV18" s="5"/>
    </row>
    <row r="19" spans="1:74" x14ac:dyDescent="0.25">
      <c r="A19" t="s">
        <v>80</v>
      </c>
      <c r="B19" s="9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>
        <v>2</v>
      </c>
      <c r="X19" s="5">
        <v>2</v>
      </c>
      <c r="Y19" s="5">
        <v>2</v>
      </c>
      <c r="Z19" s="5">
        <v>3</v>
      </c>
      <c r="AA19" s="5">
        <v>3</v>
      </c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>
        <v>3</v>
      </c>
      <c r="AX19" s="5">
        <v>3</v>
      </c>
      <c r="AY19" s="5">
        <v>4</v>
      </c>
      <c r="AZ19" s="5">
        <v>4</v>
      </c>
      <c r="BA19" s="5">
        <v>4</v>
      </c>
      <c r="BB19" s="5">
        <v>4</v>
      </c>
      <c r="BC19" s="5">
        <v>4</v>
      </c>
      <c r="BD19" s="5">
        <v>4</v>
      </c>
      <c r="BE19" s="5">
        <v>4</v>
      </c>
      <c r="BF19" s="5"/>
      <c r="BG19" s="5"/>
      <c r="BH19" s="5"/>
      <c r="BI19" s="5"/>
      <c r="BJ19" s="5"/>
      <c r="BK19" s="5">
        <v>3</v>
      </c>
      <c r="BL19" s="5">
        <v>3</v>
      </c>
      <c r="BM19" s="5">
        <v>4</v>
      </c>
      <c r="BN19" s="5">
        <v>4</v>
      </c>
      <c r="BU19" s="5">
        <v>3</v>
      </c>
      <c r="BV19" s="5"/>
    </row>
    <row r="20" spans="1:74" x14ac:dyDescent="0.25">
      <c r="A20" s="10" t="s">
        <v>88</v>
      </c>
      <c r="B20" s="9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>
        <v>22</v>
      </c>
      <c r="X20" s="5">
        <v>22</v>
      </c>
      <c r="Y20" s="5">
        <v>22</v>
      </c>
      <c r="Z20" s="5">
        <v>33</v>
      </c>
      <c r="AA20" s="5">
        <v>33</v>
      </c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Q20" s="5"/>
      <c r="AR20" s="5"/>
      <c r="AS20" s="5"/>
      <c r="AT20" s="5"/>
      <c r="AU20" s="5"/>
      <c r="AV20" s="5"/>
      <c r="AW20" s="5">
        <v>40</v>
      </c>
      <c r="AX20" s="5">
        <v>40</v>
      </c>
      <c r="AY20" s="5">
        <v>40</v>
      </c>
      <c r="AZ20" s="5">
        <v>40</v>
      </c>
      <c r="BA20" s="5">
        <v>40</v>
      </c>
      <c r="BB20" s="5">
        <v>40</v>
      </c>
      <c r="BC20" s="5">
        <v>40</v>
      </c>
      <c r="BD20" s="5">
        <v>40</v>
      </c>
      <c r="BE20" s="5">
        <v>40</v>
      </c>
      <c r="BF20" s="5"/>
      <c r="BG20" s="5"/>
      <c r="BH20" s="5"/>
      <c r="BI20" s="5"/>
      <c r="BJ20" s="5"/>
      <c r="BK20" s="5">
        <v>40</v>
      </c>
      <c r="BL20" s="5">
        <v>33</v>
      </c>
      <c r="BM20" s="5">
        <v>40</v>
      </c>
      <c r="BN20" s="5">
        <v>40</v>
      </c>
      <c r="BU20" s="5">
        <v>33</v>
      </c>
      <c r="BV20" s="5"/>
    </row>
    <row r="21" spans="1:74" x14ac:dyDescent="0.25">
      <c r="A21" t="s">
        <v>81</v>
      </c>
      <c r="B21" s="9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>
        <v>4</v>
      </c>
      <c r="BB21" s="5">
        <v>4</v>
      </c>
      <c r="BC21" s="5">
        <v>4</v>
      </c>
      <c r="BD21" s="5">
        <v>4</v>
      </c>
      <c r="BE21" s="5">
        <v>4</v>
      </c>
      <c r="BF21" s="5"/>
      <c r="BG21" s="5"/>
      <c r="BH21" s="5"/>
      <c r="BI21" s="5"/>
      <c r="BJ21" s="5"/>
      <c r="BV21" s="5"/>
    </row>
    <row r="22" spans="1:74" x14ac:dyDescent="0.25">
      <c r="A22" s="10" t="s">
        <v>89</v>
      </c>
      <c r="B22" s="9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>
        <v>40</v>
      </c>
      <c r="BB22" s="5">
        <v>40</v>
      </c>
      <c r="BC22" s="5">
        <v>40</v>
      </c>
      <c r="BD22" s="5">
        <v>40</v>
      </c>
      <c r="BE22" s="5">
        <v>40</v>
      </c>
      <c r="BF22" s="5"/>
      <c r="BG22" s="5"/>
      <c r="BH22" s="5"/>
      <c r="BI22" s="5"/>
      <c r="BJ22" s="5"/>
      <c r="BV22" s="5"/>
    </row>
    <row r="23" spans="1:74" x14ac:dyDescent="0.25">
      <c r="A23" t="s">
        <v>82</v>
      </c>
      <c r="B23" s="9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>
        <v>4</v>
      </c>
      <c r="BB23" s="5">
        <v>4</v>
      </c>
      <c r="BC23" s="5">
        <v>4</v>
      </c>
      <c r="BD23" s="5">
        <v>4</v>
      </c>
      <c r="BE23" s="5">
        <v>4</v>
      </c>
      <c r="BF23" s="5"/>
      <c r="BG23" s="5"/>
      <c r="BH23" s="5"/>
      <c r="BI23" s="5"/>
      <c r="BJ23" s="5"/>
      <c r="BV23" s="5"/>
    </row>
    <row r="24" spans="1:74" x14ac:dyDescent="0.25">
      <c r="A24" s="10" t="s">
        <v>90</v>
      </c>
      <c r="B24" s="9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>
        <v>40</v>
      </c>
      <c r="BB24" s="5">
        <v>40</v>
      </c>
      <c r="BC24" s="5">
        <v>40</v>
      </c>
      <c r="BD24" s="5">
        <v>40</v>
      </c>
      <c r="BE24" s="5">
        <v>40</v>
      </c>
      <c r="BF24" s="5"/>
      <c r="BG24" s="5"/>
      <c r="BH24" s="5"/>
      <c r="BI24" s="5"/>
      <c r="BJ24" s="5"/>
      <c r="BV24" s="5"/>
    </row>
    <row r="25" spans="1:74" x14ac:dyDescent="0.25">
      <c r="A25" t="s">
        <v>194</v>
      </c>
      <c r="B25" s="98"/>
      <c r="C25" t="s">
        <v>199</v>
      </c>
      <c r="D25" t="s">
        <v>199</v>
      </c>
      <c r="E25" t="s">
        <v>199</v>
      </c>
      <c r="F25" t="s">
        <v>132</v>
      </c>
      <c r="G25" t="s">
        <v>132</v>
      </c>
      <c r="H25" t="s">
        <v>133</v>
      </c>
      <c r="I25" t="s">
        <v>133</v>
      </c>
      <c r="J25" t="s">
        <v>199</v>
      </c>
      <c r="K25" t="s">
        <v>199</v>
      </c>
      <c r="L25" t="s">
        <v>132</v>
      </c>
      <c r="M25" t="s">
        <v>132</v>
      </c>
      <c r="N25" t="s">
        <v>134</v>
      </c>
      <c r="O25" t="s">
        <v>134</v>
      </c>
      <c r="P25" t="s">
        <v>133</v>
      </c>
      <c r="Q25" t="s">
        <v>134</v>
      </c>
      <c r="R25" t="s">
        <v>133</v>
      </c>
      <c r="S25" t="s">
        <v>133</v>
      </c>
      <c r="T25" t="s">
        <v>133</v>
      </c>
      <c r="U25" t="s">
        <v>133</v>
      </c>
      <c r="V25" t="s">
        <v>135</v>
      </c>
      <c r="W25" t="s">
        <v>136</v>
      </c>
      <c r="X25" t="s">
        <v>136</v>
      </c>
      <c r="Y25" t="s">
        <v>136</v>
      </c>
      <c r="Z25" t="s">
        <v>137</v>
      </c>
      <c r="AA25" t="s">
        <v>137</v>
      </c>
      <c r="AB25" t="s">
        <v>556</v>
      </c>
      <c r="AC25" t="s">
        <v>557</v>
      </c>
      <c r="AD25" t="s">
        <v>557</v>
      </c>
      <c r="AE25" t="s">
        <v>557</v>
      </c>
      <c r="AF25" t="s">
        <v>557</v>
      </c>
      <c r="AG25" t="s">
        <v>558</v>
      </c>
      <c r="AH25" t="s">
        <v>558</v>
      </c>
      <c r="AI25" t="s">
        <v>558</v>
      </c>
      <c r="AJ25" t="s">
        <v>558</v>
      </c>
      <c r="AK25" t="s">
        <v>558</v>
      </c>
      <c r="AL25" t="s">
        <v>558</v>
      </c>
      <c r="AM25" t="s">
        <v>557</v>
      </c>
      <c r="AN25" t="s">
        <v>557</v>
      </c>
      <c r="AO25" t="s">
        <v>558</v>
      </c>
      <c r="AP25" t="s">
        <v>558</v>
      </c>
      <c r="AQ25" t="s">
        <v>558</v>
      </c>
      <c r="AR25" t="s">
        <v>559</v>
      </c>
      <c r="AS25" t="s">
        <v>559</v>
      </c>
      <c r="AT25" t="s">
        <v>559</v>
      </c>
      <c r="AU25" t="s">
        <v>560</v>
      </c>
      <c r="AV25" t="s">
        <v>560</v>
      </c>
      <c r="AW25" t="s">
        <v>561</v>
      </c>
      <c r="AX25" t="s">
        <v>561</v>
      </c>
      <c r="AY25" t="s">
        <v>562</v>
      </c>
      <c r="AZ25" t="s">
        <v>562</v>
      </c>
      <c r="BA25" t="s">
        <v>563</v>
      </c>
      <c r="BB25" t="s">
        <v>563</v>
      </c>
      <c r="BC25" t="s">
        <v>563</v>
      </c>
      <c r="BD25" t="s">
        <v>563</v>
      </c>
      <c r="BE25" t="s">
        <v>563</v>
      </c>
      <c r="BF25" t="s">
        <v>558</v>
      </c>
      <c r="BG25" t="s">
        <v>558</v>
      </c>
      <c r="BH25" t="s">
        <v>558</v>
      </c>
      <c r="BI25" t="s">
        <v>559</v>
      </c>
      <c r="BJ25" t="s">
        <v>564</v>
      </c>
      <c r="BK25" t="s">
        <v>565</v>
      </c>
      <c r="BL25" t="s">
        <v>565</v>
      </c>
      <c r="BM25" t="s">
        <v>562</v>
      </c>
      <c r="BN25" t="s">
        <v>562</v>
      </c>
      <c r="BO25" t="s">
        <v>557</v>
      </c>
      <c r="BP25" t="s">
        <v>557</v>
      </c>
      <c r="BQ25" t="s">
        <v>557</v>
      </c>
      <c r="BR25" t="s">
        <v>558</v>
      </c>
      <c r="BS25" t="s">
        <v>558</v>
      </c>
      <c r="BU25" t="s">
        <v>138</v>
      </c>
      <c r="BV25" t="s">
        <v>135</v>
      </c>
    </row>
    <row r="26" spans="1:74" x14ac:dyDescent="0.25">
      <c r="A26" s="10" t="s">
        <v>208</v>
      </c>
      <c r="B26" s="9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>
        <v>19.5</v>
      </c>
      <c r="AC26" s="5">
        <v>19.5</v>
      </c>
      <c r="AD26" s="5">
        <v>19.5</v>
      </c>
      <c r="AE26" s="5">
        <v>19.5</v>
      </c>
      <c r="AF26" s="5">
        <v>19.5</v>
      </c>
      <c r="AG26" s="5">
        <v>19.5</v>
      </c>
      <c r="AH26" s="5">
        <v>19.5</v>
      </c>
      <c r="AI26" s="5">
        <v>19.5</v>
      </c>
      <c r="AJ26" s="5">
        <v>39</v>
      </c>
      <c r="AK26" s="5">
        <v>39</v>
      </c>
      <c r="AL26" s="5">
        <v>39</v>
      </c>
      <c r="AM26" s="5">
        <v>19.5</v>
      </c>
      <c r="AN26" s="5">
        <v>16</v>
      </c>
      <c r="AO26" s="5">
        <v>16</v>
      </c>
      <c r="AP26" s="5">
        <v>48</v>
      </c>
      <c r="AQ26" s="5">
        <v>48</v>
      </c>
      <c r="AR26" s="5">
        <v>48</v>
      </c>
      <c r="AS26" s="5">
        <v>48</v>
      </c>
      <c r="AT26" s="5">
        <v>60</v>
      </c>
      <c r="AU26" s="5">
        <v>60</v>
      </c>
      <c r="AV26" s="5">
        <v>60</v>
      </c>
      <c r="AW26" s="5">
        <v>60</v>
      </c>
      <c r="AX26" s="5">
        <v>60</v>
      </c>
      <c r="AY26" s="5">
        <v>60</v>
      </c>
      <c r="AZ26" s="5">
        <v>60</v>
      </c>
      <c r="BA26" s="5">
        <v>60</v>
      </c>
      <c r="BB26" s="5">
        <v>60</v>
      </c>
      <c r="BC26" s="5">
        <v>60</v>
      </c>
      <c r="BD26" s="5">
        <v>60</v>
      </c>
      <c r="BE26" s="5">
        <v>60</v>
      </c>
      <c r="BF26" s="5">
        <v>48</v>
      </c>
      <c r="BG26" s="5">
        <v>48</v>
      </c>
      <c r="BH26" s="5">
        <v>48</v>
      </c>
      <c r="BI26" s="5">
        <v>60</v>
      </c>
      <c r="BJ26" s="5">
        <v>45</v>
      </c>
      <c r="BK26" s="5">
        <v>60</v>
      </c>
      <c r="BL26" s="5">
        <v>48</v>
      </c>
      <c r="BM26" s="5">
        <v>55</v>
      </c>
      <c r="BN26" s="5">
        <v>60</v>
      </c>
      <c r="BO26" s="5">
        <v>17</v>
      </c>
      <c r="BP26" s="5">
        <v>17</v>
      </c>
      <c r="BQ26" s="5">
        <v>17</v>
      </c>
      <c r="BR26" s="5">
        <v>34</v>
      </c>
      <c r="BS26" s="5">
        <v>34</v>
      </c>
      <c r="BU26" s="5">
        <v>48</v>
      </c>
      <c r="BV26" s="5">
        <v>48</v>
      </c>
    </row>
    <row r="27" spans="1:74" x14ac:dyDescent="0.25">
      <c r="A27" s="10" t="s">
        <v>209</v>
      </c>
      <c r="B27" s="9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>
        <v>19.5</v>
      </c>
      <c r="AD27" s="5">
        <v>19.5</v>
      </c>
      <c r="AE27" s="5">
        <v>19.5</v>
      </c>
      <c r="AF27" s="5">
        <v>19.5</v>
      </c>
      <c r="AG27" s="5">
        <v>39</v>
      </c>
      <c r="AH27" s="5">
        <v>39</v>
      </c>
      <c r="AI27" s="5">
        <v>39</v>
      </c>
      <c r="AJ27" s="5">
        <v>39</v>
      </c>
      <c r="AK27" s="5">
        <v>39</v>
      </c>
      <c r="AL27" s="5">
        <v>39</v>
      </c>
      <c r="AM27" s="5">
        <v>19.5</v>
      </c>
      <c r="AN27" s="5">
        <v>32</v>
      </c>
      <c r="AO27" s="5">
        <v>32</v>
      </c>
      <c r="AP27" s="5">
        <v>48</v>
      </c>
      <c r="AQ27" s="5">
        <v>48</v>
      </c>
      <c r="AR27" s="5">
        <v>48</v>
      </c>
      <c r="AS27" s="5">
        <v>48</v>
      </c>
      <c r="AT27" s="5">
        <v>60</v>
      </c>
      <c r="AU27" s="5">
        <v>60</v>
      </c>
      <c r="AV27" s="5">
        <v>60</v>
      </c>
      <c r="AW27" s="5">
        <v>60</v>
      </c>
      <c r="AX27" s="5">
        <v>60</v>
      </c>
      <c r="AY27" s="5">
        <v>60</v>
      </c>
      <c r="AZ27" s="5">
        <v>60</v>
      </c>
      <c r="BA27" s="5">
        <v>60</v>
      </c>
      <c r="BB27" s="5">
        <v>60</v>
      </c>
      <c r="BC27" s="5">
        <v>60</v>
      </c>
      <c r="BD27" s="5">
        <v>60</v>
      </c>
      <c r="BE27" s="5">
        <v>60</v>
      </c>
      <c r="BF27" s="5">
        <v>48</v>
      </c>
      <c r="BG27" s="5">
        <v>48</v>
      </c>
      <c r="BH27" s="5">
        <v>48</v>
      </c>
      <c r="BI27" s="5">
        <v>60</v>
      </c>
      <c r="BJ27" s="5">
        <v>45</v>
      </c>
      <c r="BK27" s="5">
        <v>60</v>
      </c>
      <c r="BL27" s="5">
        <v>48</v>
      </c>
      <c r="BM27" s="5">
        <v>55</v>
      </c>
      <c r="BN27" s="5">
        <v>60</v>
      </c>
      <c r="BO27" s="5">
        <v>17</v>
      </c>
      <c r="BP27" s="5">
        <v>17</v>
      </c>
      <c r="BQ27" s="5">
        <v>17</v>
      </c>
      <c r="BR27" s="5">
        <v>34</v>
      </c>
      <c r="BS27" s="5">
        <v>34</v>
      </c>
      <c r="BU27" s="5">
        <v>48</v>
      </c>
      <c r="BV27" s="5">
        <v>48</v>
      </c>
    </row>
    <row r="28" spans="1:74" x14ac:dyDescent="0.25">
      <c r="A28" s="10" t="s">
        <v>210</v>
      </c>
      <c r="B28" s="9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>
        <v>60</v>
      </c>
      <c r="AV28" s="5">
        <v>60</v>
      </c>
      <c r="AW28" s="5">
        <v>60</v>
      </c>
      <c r="AX28" s="5">
        <v>60</v>
      </c>
      <c r="AY28" s="5">
        <v>60</v>
      </c>
      <c r="AZ28" s="5">
        <v>60</v>
      </c>
      <c r="BA28" s="5">
        <v>60</v>
      </c>
      <c r="BB28" s="5">
        <v>60</v>
      </c>
      <c r="BC28" s="5">
        <v>60</v>
      </c>
      <c r="BD28" s="5">
        <v>60</v>
      </c>
      <c r="BE28" s="5">
        <v>60</v>
      </c>
      <c r="BF28" s="5"/>
      <c r="BG28" s="5"/>
      <c r="BH28" s="5"/>
      <c r="BI28" s="5"/>
      <c r="BJ28" s="5">
        <v>45</v>
      </c>
      <c r="BK28" s="5">
        <v>60</v>
      </c>
      <c r="BL28" s="5">
        <v>48</v>
      </c>
      <c r="BM28" s="5">
        <v>55</v>
      </c>
      <c r="BN28" s="5">
        <v>60</v>
      </c>
      <c r="BO28" s="5"/>
      <c r="BP28" s="5"/>
      <c r="BQ28" s="5"/>
      <c r="BR28" s="5"/>
      <c r="BS28" s="5"/>
      <c r="BU28" s="5">
        <v>48</v>
      </c>
      <c r="BV28" s="5"/>
    </row>
    <row r="29" spans="1:74" x14ac:dyDescent="0.25">
      <c r="A29" s="10" t="s">
        <v>211</v>
      </c>
      <c r="B29" s="9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>
        <v>60</v>
      </c>
      <c r="AX29" s="5">
        <v>60</v>
      </c>
      <c r="AY29" s="5">
        <v>60</v>
      </c>
      <c r="AZ29" s="5">
        <v>60</v>
      </c>
      <c r="BA29" s="5">
        <v>60</v>
      </c>
      <c r="BB29" s="5">
        <v>60</v>
      </c>
      <c r="BC29" s="5">
        <v>60</v>
      </c>
      <c r="BD29" s="5">
        <v>60</v>
      </c>
      <c r="BE29" s="5">
        <v>60</v>
      </c>
      <c r="BF29" s="5"/>
      <c r="BG29" s="5"/>
      <c r="BH29" s="5"/>
      <c r="BI29" s="5"/>
      <c r="BJ29" s="5"/>
      <c r="BK29" s="5">
        <v>60</v>
      </c>
      <c r="BL29" s="5">
        <v>48</v>
      </c>
      <c r="BM29" s="5">
        <v>55</v>
      </c>
      <c r="BN29" s="5">
        <v>60</v>
      </c>
      <c r="BO29" s="5"/>
      <c r="BP29" s="5"/>
      <c r="BQ29" s="5"/>
      <c r="BR29" s="5"/>
      <c r="BU29" s="5">
        <v>48</v>
      </c>
      <c r="BV29" s="5"/>
    </row>
    <row r="30" spans="1:74" x14ac:dyDescent="0.25">
      <c r="A30" s="10" t="s">
        <v>212</v>
      </c>
      <c r="B30" s="9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>
        <v>60</v>
      </c>
      <c r="BB30" s="5">
        <v>60</v>
      </c>
      <c r="BC30" s="5">
        <v>60</v>
      </c>
      <c r="BD30" s="5">
        <v>60</v>
      </c>
      <c r="BE30" s="5">
        <v>60</v>
      </c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U30" s="5"/>
      <c r="BV30" s="5"/>
    </row>
    <row r="31" spans="1:74" x14ac:dyDescent="0.25">
      <c r="A31" s="10" t="s">
        <v>213</v>
      </c>
      <c r="B31" s="9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>
        <v>60</v>
      </c>
      <c r="BB31" s="5">
        <v>60</v>
      </c>
      <c r="BC31" s="5">
        <v>60</v>
      </c>
      <c r="BD31" s="5">
        <v>60</v>
      </c>
      <c r="BE31" s="5">
        <v>60</v>
      </c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U31" s="5"/>
      <c r="BV31" s="5"/>
    </row>
    <row r="32" spans="1:74" x14ac:dyDescent="0.25">
      <c r="A32" s="10" t="s">
        <v>313</v>
      </c>
      <c r="AB32" t="s">
        <v>325</v>
      </c>
      <c r="AC32" t="s">
        <v>514</v>
      </c>
      <c r="AD32" t="s">
        <v>515</v>
      </c>
      <c r="AE32" t="s">
        <v>314</v>
      </c>
      <c r="AF32" t="s">
        <v>477</v>
      </c>
      <c r="AG32" t="s">
        <v>513</v>
      </c>
      <c r="AH32" t="s">
        <v>513</v>
      </c>
      <c r="AI32" t="s">
        <v>316</v>
      </c>
      <c r="AJ32" t="s">
        <v>516</v>
      </c>
      <c r="AK32" t="s">
        <v>326</v>
      </c>
      <c r="AL32" t="s">
        <v>477</v>
      </c>
      <c r="AM32" t="s">
        <v>327</v>
      </c>
      <c r="AN32" t="s">
        <v>328</v>
      </c>
      <c r="AO32" t="s">
        <v>327</v>
      </c>
      <c r="AP32" t="s">
        <v>329</v>
      </c>
      <c r="AQ32" t="s">
        <v>329</v>
      </c>
      <c r="AR32" t="s">
        <v>329</v>
      </c>
      <c r="AS32" t="s">
        <v>322</v>
      </c>
      <c r="AT32" t="s">
        <v>487</v>
      </c>
      <c r="AU32" t="s">
        <v>330</v>
      </c>
      <c r="AV32" t="s">
        <v>330</v>
      </c>
      <c r="AW32" t="s">
        <v>330</v>
      </c>
      <c r="AX32" t="s">
        <v>330</v>
      </c>
      <c r="AY32" t="s">
        <v>322</v>
      </c>
      <c r="AZ32" t="s">
        <v>337</v>
      </c>
      <c r="BA32" t="s">
        <v>337</v>
      </c>
      <c r="BB32" t="s">
        <v>337</v>
      </c>
      <c r="BC32" t="s">
        <v>337</v>
      </c>
      <c r="BD32" t="s">
        <v>337</v>
      </c>
      <c r="BE32" t="s">
        <v>337</v>
      </c>
      <c r="BF32" t="s">
        <v>320</v>
      </c>
      <c r="BG32" t="s">
        <v>319</v>
      </c>
      <c r="BH32" t="s">
        <v>319</v>
      </c>
      <c r="BI32" t="s">
        <v>319</v>
      </c>
      <c r="BJ32" t="s">
        <v>319</v>
      </c>
      <c r="BK32" t="s">
        <v>319</v>
      </c>
      <c r="BL32" t="s">
        <v>319</v>
      </c>
      <c r="BM32" t="s">
        <v>318</v>
      </c>
      <c r="BN32" t="s">
        <v>318</v>
      </c>
      <c r="BO32" t="s">
        <v>317</v>
      </c>
      <c r="BP32" t="s">
        <v>314</v>
      </c>
      <c r="BQ32" t="s">
        <v>315</v>
      </c>
      <c r="BR32" t="s">
        <v>316</v>
      </c>
      <c r="BS32" t="s">
        <v>315</v>
      </c>
    </row>
    <row r="33" spans="1:71" x14ac:dyDescent="0.25">
      <c r="A33" s="10" t="s">
        <v>367</v>
      </c>
      <c r="AB33" t="s">
        <v>368</v>
      </c>
      <c r="AC33" t="s">
        <v>368</v>
      </c>
      <c r="AD33" t="s">
        <v>368</v>
      </c>
      <c r="AE33" t="s">
        <v>368</v>
      </c>
      <c r="AF33" t="s">
        <v>368</v>
      </c>
      <c r="AG33" t="s">
        <v>368</v>
      </c>
      <c r="AH33" t="s">
        <v>368</v>
      </c>
      <c r="AI33" t="s">
        <v>368</v>
      </c>
      <c r="AJ33" t="s">
        <v>368</v>
      </c>
      <c r="AK33" t="s">
        <v>368</v>
      </c>
      <c r="AL33" t="s">
        <v>368</v>
      </c>
      <c r="AM33" t="s">
        <v>369</v>
      </c>
      <c r="AN33" t="s">
        <v>369</v>
      </c>
      <c r="AO33" t="s">
        <v>369</v>
      </c>
      <c r="AP33" t="s">
        <v>369</v>
      </c>
      <c r="AQ33" t="s">
        <v>369</v>
      </c>
      <c r="AR33" t="s">
        <v>369</v>
      </c>
      <c r="AS33" t="s">
        <v>369</v>
      </c>
      <c r="AT33" t="s">
        <v>369</v>
      </c>
      <c r="AU33" t="s">
        <v>369</v>
      </c>
      <c r="AV33" t="s">
        <v>369</v>
      </c>
      <c r="AW33" t="s">
        <v>369</v>
      </c>
      <c r="AX33" t="s">
        <v>369</v>
      </c>
      <c r="AY33" t="s">
        <v>369</v>
      </c>
      <c r="AZ33" t="s">
        <v>369</v>
      </c>
      <c r="BA33" t="s">
        <v>369</v>
      </c>
      <c r="BB33" t="s">
        <v>369</v>
      </c>
      <c r="BC33" t="s">
        <v>369</v>
      </c>
      <c r="BD33" t="s">
        <v>369</v>
      </c>
      <c r="BE33" t="s">
        <v>369</v>
      </c>
      <c r="BF33" t="s">
        <v>370</v>
      </c>
      <c r="BG33" t="s">
        <v>370</v>
      </c>
      <c r="BH33" t="s">
        <v>370</v>
      </c>
      <c r="BI33" t="s">
        <v>370</v>
      </c>
      <c r="BJ33" t="s">
        <v>370</v>
      </c>
      <c r="BK33" t="s">
        <v>370</v>
      </c>
      <c r="BL33" t="s">
        <v>370</v>
      </c>
      <c r="BM33" t="s">
        <v>370</v>
      </c>
      <c r="BN33" t="s">
        <v>370</v>
      </c>
      <c r="BO33" t="s">
        <v>368</v>
      </c>
      <c r="BP33" t="s">
        <v>368</v>
      </c>
      <c r="BQ33" t="s">
        <v>527</v>
      </c>
      <c r="BR33" t="s">
        <v>368</v>
      </c>
      <c r="BS33" t="s">
        <v>527</v>
      </c>
    </row>
  </sheetData>
  <sheetProtection algorithmName="SHA-512" hashValue="go/t0G/tPFMqK4vNgMLLb0ZNf8iqJJ0BrcWIzmznheAmlH+/Y/6dh7LT8BXFytijnibhcA/L7XtvDWE3AC/m/g==" saltValue="VrA7CCSn60yRN24nnN2hGA==" spinCount="100000" sheet="1" selectLockedCells="1"/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74D60-C046-4205-AC6E-FE9167E066F3}">
  <sheetPr codeName="Planilha3"/>
  <dimension ref="A2:CN47"/>
  <sheetViews>
    <sheetView workbookViewId="0">
      <pane xSplit="1" topLeftCell="B1" activePane="topRight" state="frozen"/>
      <selection pane="topRight" activeCell="B14" sqref="B14"/>
    </sheetView>
  </sheetViews>
  <sheetFormatPr defaultColWidth="14.28515625" defaultRowHeight="15" x14ac:dyDescent="0.25"/>
  <cols>
    <col min="1" max="1" width="46.28515625" customWidth="1"/>
    <col min="3" max="3" width="14.28515625" style="1"/>
  </cols>
  <sheetData>
    <row r="2" spans="1:22" x14ac:dyDescent="0.25">
      <c r="D2" s="1"/>
    </row>
    <row r="4" spans="1:22" x14ac:dyDescent="0.25">
      <c r="D4" s="126"/>
      <c r="E4" s="125" t="s">
        <v>415</v>
      </c>
      <c r="F4" s="126"/>
      <c r="G4" s="125" t="s">
        <v>415</v>
      </c>
      <c r="H4" s="125" t="s">
        <v>415</v>
      </c>
    </row>
    <row r="5" spans="1:22" x14ac:dyDescent="0.25">
      <c r="B5" s="31" t="s">
        <v>220</v>
      </c>
      <c r="C5" s="4"/>
      <c r="D5" s="126"/>
      <c r="E5" s="125" t="s">
        <v>414</v>
      </c>
      <c r="F5" s="126"/>
      <c r="G5" s="125" t="s">
        <v>414</v>
      </c>
      <c r="H5" s="125" t="s">
        <v>414</v>
      </c>
      <c r="I5" s="4"/>
      <c r="J5" s="4"/>
      <c r="K5" s="4"/>
      <c r="L5" s="4"/>
      <c r="M5" s="4"/>
      <c r="N5" s="4"/>
      <c r="O5" s="4"/>
      <c r="P5" s="4"/>
      <c r="Q5" s="4"/>
      <c r="R5" s="4"/>
    </row>
    <row r="6" spans="1:22" x14ac:dyDescent="0.25">
      <c r="A6" s="2"/>
      <c r="B6" s="100" t="s">
        <v>221</v>
      </c>
      <c r="C6" s="124" t="s">
        <v>530</v>
      </c>
      <c r="D6" s="4" t="s">
        <v>481</v>
      </c>
      <c r="E6" s="16" t="s">
        <v>531</v>
      </c>
      <c r="F6" s="4" t="s">
        <v>488</v>
      </c>
      <c r="G6" s="4" t="s">
        <v>408</v>
      </c>
      <c r="H6" s="4" t="s">
        <v>417</v>
      </c>
      <c r="I6" s="4" t="s">
        <v>532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2" x14ac:dyDescent="0.25">
      <c r="A7" s="3" t="s">
        <v>8</v>
      </c>
      <c r="B7" s="8"/>
      <c r="C7" s="1">
        <v>550</v>
      </c>
      <c r="D7" s="1">
        <v>555</v>
      </c>
      <c r="E7" s="1">
        <v>560</v>
      </c>
      <c r="F7" s="1">
        <v>575</v>
      </c>
      <c r="G7" s="1">
        <v>575</v>
      </c>
      <c r="H7" s="1">
        <v>665</v>
      </c>
      <c r="I7" s="1">
        <v>665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2" x14ac:dyDescent="0.25">
      <c r="A8" s="3" t="s">
        <v>12</v>
      </c>
      <c r="B8" s="8"/>
      <c r="C8" s="1">
        <v>-0.3</v>
      </c>
      <c r="D8" s="1">
        <v>-0.27500000000000002</v>
      </c>
      <c r="E8" s="1">
        <v>-0.25</v>
      </c>
      <c r="F8" s="1">
        <v>-0.27</v>
      </c>
      <c r="G8" s="1">
        <v>-0.25</v>
      </c>
      <c r="H8" s="1">
        <v>-0.25</v>
      </c>
      <c r="I8" s="1">
        <v>-0.26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2" x14ac:dyDescent="0.25">
      <c r="A9" s="3" t="s">
        <v>13</v>
      </c>
      <c r="B9" s="8"/>
      <c r="C9" s="1">
        <v>0.06</v>
      </c>
      <c r="D9" s="1">
        <v>4.4999999999999998E-2</v>
      </c>
      <c r="E9" s="1">
        <v>4.5999999999999999E-2</v>
      </c>
      <c r="F9" s="1">
        <v>4.8000000000000001E-2</v>
      </c>
      <c r="G9" s="1">
        <v>4.5999999999999999E-2</v>
      </c>
      <c r="H9" s="1">
        <v>0.04</v>
      </c>
      <c r="I9" s="1">
        <v>0.05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2" x14ac:dyDescent="0.25">
      <c r="A10" s="3" t="s">
        <v>14</v>
      </c>
      <c r="B10" s="8"/>
      <c r="C10" s="1">
        <v>-0.39</v>
      </c>
      <c r="D10" s="1">
        <v>-0.35</v>
      </c>
      <c r="E10" s="1">
        <v>-0.3</v>
      </c>
      <c r="F10" s="1">
        <v>-0.35</v>
      </c>
      <c r="G10" s="1">
        <v>-0.3</v>
      </c>
      <c r="H10" s="1">
        <v>-0.34</v>
      </c>
      <c r="I10" s="1">
        <v>-0.34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2" x14ac:dyDescent="0.25">
      <c r="A11" s="3" t="s">
        <v>15</v>
      </c>
      <c r="B11" s="8"/>
      <c r="C11" s="1">
        <v>42.49</v>
      </c>
      <c r="D11" s="1">
        <v>42.76</v>
      </c>
      <c r="E11" s="1">
        <v>41.77</v>
      </c>
      <c r="F11" s="1">
        <v>42.22</v>
      </c>
      <c r="G11" s="1">
        <v>42.69</v>
      </c>
      <c r="H11" s="1">
        <v>38</v>
      </c>
      <c r="I11" s="1">
        <v>38.5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2" x14ac:dyDescent="0.25">
      <c r="A12" s="3" t="s">
        <v>252</v>
      </c>
      <c r="B12" s="8"/>
      <c r="C12" s="1">
        <v>50.32</v>
      </c>
      <c r="D12" s="1">
        <v>50.22</v>
      </c>
      <c r="E12" s="1">
        <v>51.84</v>
      </c>
      <c r="F12" s="1">
        <v>50.88</v>
      </c>
      <c r="G12" s="1">
        <v>52.08</v>
      </c>
      <c r="H12" s="1">
        <v>47.173999999999999</v>
      </c>
      <c r="I12" s="1">
        <v>45.6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2" x14ac:dyDescent="0.25">
      <c r="A13" s="3" t="s">
        <v>17</v>
      </c>
      <c r="B13" s="8"/>
      <c r="C13" s="1">
        <v>12.94</v>
      </c>
      <c r="D13" s="1">
        <v>12.98</v>
      </c>
      <c r="E13" s="1">
        <v>13.41</v>
      </c>
      <c r="F13" s="1">
        <v>13.62</v>
      </c>
      <c r="G13" s="1">
        <v>13.47</v>
      </c>
      <c r="H13" s="1">
        <v>17.5</v>
      </c>
      <c r="I13" s="1">
        <v>17.28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2" x14ac:dyDescent="0.25">
      <c r="A14" s="3" t="s">
        <v>251</v>
      </c>
      <c r="B14" s="8"/>
      <c r="C14" s="1">
        <v>13.61</v>
      </c>
      <c r="D14" s="1">
        <v>13.86</v>
      </c>
      <c r="E14" s="1">
        <v>14.57</v>
      </c>
      <c r="F14" s="1">
        <v>14.39</v>
      </c>
      <c r="G14" s="1">
        <v>14.53</v>
      </c>
      <c r="H14" s="1">
        <v>19.14</v>
      </c>
      <c r="I14" s="1">
        <v>18.510000000000002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2" hidden="1" x14ac:dyDescent="0.25">
      <c r="A15" s="3" t="s">
        <v>6</v>
      </c>
      <c r="B15" s="8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</row>
    <row r="16" spans="1:22" hidden="1" x14ac:dyDescent="0.25">
      <c r="A16" s="3" t="s">
        <v>7</v>
      </c>
      <c r="B16" s="8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 t="e">
        <f t="shared" ref="R16:S16" si="0">R15/R7</f>
        <v>#DIV/0!</v>
      </c>
      <c r="S16" s="6" t="e">
        <f t="shared" si="0"/>
        <v>#DIV/0!</v>
      </c>
      <c r="U16" s="4"/>
      <c r="V16" s="4"/>
    </row>
    <row r="17" spans="1:92" x14ac:dyDescent="0.25">
      <c r="A17" s="108" t="s">
        <v>313</v>
      </c>
      <c r="B17" s="110"/>
      <c r="C17" s="1" t="s">
        <v>546</v>
      </c>
      <c r="D17" s="1" t="s">
        <v>484</v>
      </c>
      <c r="E17" s="1" t="s">
        <v>538</v>
      </c>
      <c r="F17" s="1" t="s">
        <v>491</v>
      </c>
      <c r="G17" s="1" t="s">
        <v>468</v>
      </c>
      <c r="H17" s="1" t="s">
        <v>468</v>
      </c>
      <c r="I17" s="1" t="s">
        <v>536</v>
      </c>
      <c r="J17" s="1"/>
      <c r="K17" s="1"/>
      <c r="L17" s="1"/>
      <c r="M17" s="1"/>
      <c r="N17" s="1"/>
      <c r="O17" s="1"/>
      <c r="P17" s="1"/>
      <c r="Q17" s="1"/>
      <c r="R17" s="1"/>
      <c r="S17" s="1"/>
      <c r="U17" s="4"/>
      <c r="V17" s="4"/>
    </row>
    <row r="18" spans="1:92" x14ac:dyDescent="0.25">
      <c r="A18" s="108" t="s">
        <v>333</v>
      </c>
      <c r="B18" s="110"/>
      <c r="C18" s="1" t="s">
        <v>534</v>
      </c>
      <c r="D18" s="1" t="s">
        <v>482</v>
      </c>
      <c r="E18" s="1" t="s">
        <v>533</v>
      </c>
      <c r="F18" s="1" t="s">
        <v>489</v>
      </c>
      <c r="G18" s="1" t="s">
        <v>400</v>
      </c>
      <c r="H18" s="1" t="s">
        <v>418</v>
      </c>
      <c r="I18" s="1" t="s">
        <v>537</v>
      </c>
      <c r="J18" s="1"/>
      <c r="K18" s="1"/>
      <c r="L18" s="1"/>
      <c r="M18" s="1"/>
      <c r="N18" s="1"/>
      <c r="O18" s="1"/>
      <c r="P18" s="1"/>
      <c r="Q18" s="1"/>
      <c r="R18" s="1"/>
      <c r="S18" s="1"/>
      <c r="U18" s="4"/>
      <c r="V18" s="4"/>
    </row>
    <row r="19" spans="1:92" x14ac:dyDescent="0.25">
      <c r="A19" s="108" t="s">
        <v>397</v>
      </c>
      <c r="B19" s="110"/>
      <c r="C19" s="1" t="s">
        <v>421</v>
      </c>
      <c r="D19" s="1" t="s">
        <v>420</v>
      </c>
      <c r="E19" s="1" t="s">
        <v>420</v>
      </c>
      <c r="F19" s="1" t="s">
        <v>420</v>
      </c>
      <c r="G19" s="1" t="s">
        <v>420</v>
      </c>
      <c r="H19" s="1" t="s">
        <v>419</v>
      </c>
      <c r="I19" s="1" t="s">
        <v>419</v>
      </c>
      <c r="J19" s="1"/>
      <c r="K19" s="1"/>
      <c r="L19" s="1"/>
      <c r="M19" s="1"/>
      <c r="N19" s="1"/>
      <c r="O19" s="1"/>
      <c r="P19" s="1"/>
      <c r="Q19" s="1"/>
      <c r="R19" s="1"/>
      <c r="S19" s="1"/>
      <c r="U19" s="4"/>
      <c r="V19" s="4"/>
    </row>
    <row r="20" spans="1:92" x14ac:dyDescent="0.25">
      <c r="A20" s="108" t="s">
        <v>398</v>
      </c>
      <c r="B20" s="110"/>
      <c r="C20" s="1" t="s">
        <v>535</v>
      </c>
      <c r="D20" s="1" t="s">
        <v>483</v>
      </c>
      <c r="E20" s="1" t="s">
        <v>399</v>
      </c>
      <c r="F20" s="1" t="s">
        <v>490</v>
      </c>
      <c r="G20" s="1" t="s">
        <v>399</v>
      </c>
      <c r="H20" s="1" t="s">
        <v>422</v>
      </c>
      <c r="I20" s="1" t="s">
        <v>539</v>
      </c>
      <c r="J20" s="1"/>
      <c r="K20" s="1"/>
      <c r="L20" s="1"/>
      <c r="M20" s="1"/>
      <c r="N20" s="1"/>
      <c r="O20" s="1"/>
      <c r="P20" s="1"/>
      <c r="Q20" s="1"/>
      <c r="R20" s="1"/>
      <c r="S20" s="1"/>
      <c r="U20" s="4"/>
      <c r="V20" s="4"/>
    </row>
    <row r="21" spans="1:92" x14ac:dyDescent="0.25">
      <c r="A21" s="108" t="s">
        <v>542</v>
      </c>
      <c r="B21" s="110"/>
      <c r="C21" s="128">
        <v>2</v>
      </c>
      <c r="D21" s="128">
        <v>2</v>
      </c>
      <c r="E21" s="128">
        <v>2</v>
      </c>
      <c r="F21" s="128">
        <v>2</v>
      </c>
      <c r="G21" s="128">
        <v>2</v>
      </c>
      <c r="H21" s="128">
        <v>2</v>
      </c>
      <c r="I21" s="128">
        <v>2</v>
      </c>
      <c r="J21" s="1"/>
      <c r="K21" s="1"/>
      <c r="L21" s="1"/>
      <c r="M21" s="1"/>
      <c r="N21" s="1"/>
      <c r="O21" s="1"/>
      <c r="P21" s="1"/>
      <c r="Q21" s="1"/>
      <c r="R21" s="1"/>
      <c r="S21" s="1"/>
      <c r="U21" s="4"/>
      <c r="V21" s="4"/>
    </row>
    <row r="22" spans="1:92" x14ac:dyDescent="0.25">
      <c r="A22" s="3" t="s">
        <v>266</v>
      </c>
      <c r="B22" s="107" t="str">
        <f t="shared" ref="B22:L22" si="1">IF(B11&gt;B12,"Vmp &gt; Voc","")</f>
        <v/>
      </c>
      <c r="C22" s="127" t="str">
        <f>IF(X38&gt;X39,"Vmp &gt; Voc","")</f>
        <v/>
      </c>
      <c r="D22" s="107" t="str">
        <f t="shared" ref="D22:K22" si="2">IF(D11&gt;D12,"Vmp &gt; Voc","")</f>
        <v/>
      </c>
      <c r="E22" s="107" t="str">
        <f t="shared" si="2"/>
        <v/>
      </c>
      <c r="F22" s="107" t="str">
        <f t="shared" si="2"/>
        <v/>
      </c>
      <c r="G22" s="107" t="str">
        <f t="shared" si="2"/>
        <v/>
      </c>
      <c r="H22" s="107" t="str">
        <f t="shared" si="2"/>
        <v/>
      </c>
      <c r="I22" s="107" t="str">
        <f t="shared" si="2"/>
        <v/>
      </c>
      <c r="J22" s="107" t="str">
        <f t="shared" si="2"/>
        <v/>
      </c>
      <c r="K22" s="107" t="str">
        <f t="shared" si="2"/>
        <v/>
      </c>
      <c r="L22" s="107" t="str">
        <f t="shared" si="1"/>
        <v/>
      </c>
      <c r="M22" s="107" t="str">
        <f t="shared" ref="M22:BD22" si="3">IF(M11&gt;M12,"Vmp &gt; Voc","")</f>
        <v/>
      </c>
      <c r="N22" s="107" t="str">
        <f t="shared" si="3"/>
        <v/>
      </c>
      <c r="O22" s="107" t="str">
        <f t="shared" si="3"/>
        <v/>
      </c>
      <c r="P22" s="107" t="str">
        <f t="shared" si="3"/>
        <v/>
      </c>
      <c r="Q22" s="107" t="str">
        <f t="shared" si="3"/>
        <v/>
      </c>
      <c r="R22" s="107" t="str">
        <f t="shared" si="3"/>
        <v/>
      </c>
      <c r="S22" s="107" t="str">
        <f t="shared" si="3"/>
        <v/>
      </c>
      <c r="T22" s="107" t="str">
        <f t="shared" si="3"/>
        <v/>
      </c>
      <c r="U22" s="107" t="str">
        <f t="shared" si="3"/>
        <v/>
      </c>
      <c r="V22" s="107" t="str">
        <f t="shared" si="3"/>
        <v/>
      </c>
      <c r="W22" s="107" t="str">
        <f t="shared" si="3"/>
        <v/>
      </c>
      <c r="X22" s="107" t="str">
        <f t="shared" si="3"/>
        <v/>
      </c>
      <c r="Y22" s="107" t="str">
        <f t="shared" si="3"/>
        <v/>
      </c>
      <c r="Z22" s="107" t="str">
        <f t="shared" si="3"/>
        <v/>
      </c>
      <c r="AA22" s="107" t="str">
        <f t="shared" si="3"/>
        <v/>
      </c>
      <c r="AB22" s="107" t="str">
        <f t="shared" si="3"/>
        <v/>
      </c>
      <c r="AC22" s="107" t="str">
        <f t="shared" si="3"/>
        <v/>
      </c>
      <c r="AD22" s="107" t="str">
        <f t="shared" si="3"/>
        <v/>
      </c>
      <c r="AE22" s="107" t="str">
        <f t="shared" si="3"/>
        <v/>
      </c>
      <c r="AF22" s="107" t="str">
        <f t="shared" si="3"/>
        <v/>
      </c>
      <c r="AG22" s="107" t="str">
        <f t="shared" si="3"/>
        <v/>
      </c>
      <c r="AH22" s="107" t="str">
        <f t="shared" si="3"/>
        <v/>
      </c>
      <c r="AI22" s="107" t="str">
        <f t="shared" si="3"/>
        <v/>
      </c>
      <c r="AJ22" s="107" t="str">
        <f t="shared" si="3"/>
        <v/>
      </c>
      <c r="AK22" s="107" t="str">
        <f t="shared" si="3"/>
        <v/>
      </c>
      <c r="AL22" s="107" t="str">
        <f t="shared" si="3"/>
        <v/>
      </c>
      <c r="AM22" s="107" t="str">
        <f t="shared" si="3"/>
        <v/>
      </c>
      <c r="AN22" s="107" t="str">
        <f t="shared" si="3"/>
        <v/>
      </c>
      <c r="AO22" s="107" t="str">
        <f t="shared" si="3"/>
        <v/>
      </c>
      <c r="AP22" s="107" t="str">
        <f t="shared" si="3"/>
        <v/>
      </c>
      <c r="AQ22" s="107" t="str">
        <f t="shared" si="3"/>
        <v/>
      </c>
      <c r="AR22" s="107" t="str">
        <f t="shared" si="3"/>
        <v/>
      </c>
      <c r="AS22" s="107" t="str">
        <f t="shared" si="3"/>
        <v/>
      </c>
      <c r="AT22" s="107" t="str">
        <f t="shared" si="3"/>
        <v/>
      </c>
      <c r="AU22" s="107" t="str">
        <f t="shared" si="3"/>
        <v/>
      </c>
      <c r="AV22" s="107" t="str">
        <f t="shared" si="3"/>
        <v/>
      </c>
      <c r="AW22" s="107" t="str">
        <f t="shared" si="3"/>
        <v/>
      </c>
      <c r="AX22" s="107" t="str">
        <f t="shared" si="3"/>
        <v/>
      </c>
      <c r="AY22" s="107" t="str">
        <f t="shared" si="3"/>
        <v/>
      </c>
      <c r="AZ22" s="107" t="str">
        <f t="shared" si="3"/>
        <v/>
      </c>
      <c r="BA22" s="107" t="str">
        <f t="shared" si="3"/>
        <v/>
      </c>
      <c r="BB22" s="107" t="str">
        <f t="shared" si="3"/>
        <v/>
      </c>
      <c r="BC22" s="107" t="str">
        <f t="shared" si="3"/>
        <v/>
      </c>
      <c r="BD22" s="107" t="str">
        <f t="shared" si="3"/>
        <v/>
      </c>
      <c r="BE22" s="107" t="str">
        <f t="shared" ref="BE22:BJ22" si="4">IF(BE11&gt;BE12,"Vmp &gt; Voc","")</f>
        <v/>
      </c>
      <c r="BF22" s="107" t="str">
        <f t="shared" si="4"/>
        <v/>
      </c>
      <c r="BG22" s="107" t="str">
        <f t="shared" si="4"/>
        <v/>
      </c>
      <c r="BH22" s="107" t="str">
        <f t="shared" si="4"/>
        <v/>
      </c>
      <c r="BI22" s="107" t="str">
        <f t="shared" si="4"/>
        <v/>
      </c>
      <c r="BJ22" s="107" t="str">
        <f t="shared" si="4"/>
        <v/>
      </c>
      <c r="BK22" s="107" t="str">
        <f t="shared" ref="BK22:CN22" si="5">IF(BK11&gt;BK12,"Vmp &gt; Voc","")</f>
        <v/>
      </c>
      <c r="BL22" s="107" t="str">
        <f t="shared" si="5"/>
        <v/>
      </c>
      <c r="BM22" s="107" t="str">
        <f t="shared" si="5"/>
        <v/>
      </c>
      <c r="BN22" s="107" t="str">
        <f t="shared" si="5"/>
        <v/>
      </c>
      <c r="BO22" s="107" t="str">
        <f t="shared" si="5"/>
        <v/>
      </c>
      <c r="BP22" s="107" t="str">
        <f t="shared" si="5"/>
        <v/>
      </c>
      <c r="BQ22" s="107" t="str">
        <f t="shared" si="5"/>
        <v/>
      </c>
      <c r="BR22" s="107" t="str">
        <f t="shared" si="5"/>
        <v/>
      </c>
      <c r="BS22" s="107" t="str">
        <f t="shared" si="5"/>
        <v/>
      </c>
      <c r="BT22" s="107" t="str">
        <f t="shared" si="5"/>
        <v/>
      </c>
      <c r="BU22" s="107" t="str">
        <f t="shared" si="5"/>
        <v/>
      </c>
      <c r="BV22" s="107" t="str">
        <f t="shared" si="5"/>
        <v/>
      </c>
      <c r="BW22" s="107" t="str">
        <f t="shared" si="5"/>
        <v/>
      </c>
      <c r="BX22" s="107" t="str">
        <f t="shared" si="5"/>
        <v/>
      </c>
      <c r="BY22" s="107" t="str">
        <f t="shared" si="5"/>
        <v/>
      </c>
      <c r="BZ22" s="107" t="str">
        <f t="shared" si="5"/>
        <v/>
      </c>
      <c r="CA22" s="107" t="str">
        <f t="shared" si="5"/>
        <v/>
      </c>
      <c r="CB22" s="107" t="str">
        <f t="shared" si="5"/>
        <v/>
      </c>
      <c r="CC22" s="107" t="str">
        <f t="shared" si="5"/>
        <v/>
      </c>
      <c r="CD22" s="107" t="str">
        <f t="shared" si="5"/>
        <v/>
      </c>
      <c r="CE22" s="107" t="str">
        <f t="shared" si="5"/>
        <v/>
      </c>
      <c r="CF22" s="107" t="str">
        <f t="shared" si="5"/>
        <v/>
      </c>
      <c r="CG22" s="107" t="str">
        <f t="shared" si="5"/>
        <v/>
      </c>
      <c r="CH22" s="107" t="str">
        <f t="shared" si="5"/>
        <v/>
      </c>
      <c r="CI22" s="107" t="str">
        <f t="shared" si="5"/>
        <v/>
      </c>
      <c r="CJ22" s="107" t="str">
        <f t="shared" si="5"/>
        <v/>
      </c>
      <c r="CK22" s="107" t="str">
        <f t="shared" si="5"/>
        <v/>
      </c>
      <c r="CL22" s="107" t="str">
        <f t="shared" si="5"/>
        <v/>
      </c>
      <c r="CM22" s="107" t="str">
        <f t="shared" si="5"/>
        <v/>
      </c>
      <c r="CN22" s="107" t="str">
        <f t="shared" si="5"/>
        <v/>
      </c>
    </row>
    <row r="23" spans="1:92" x14ac:dyDescent="0.25">
      <c r="A23" s="3" t="s">
        <v>267</v>
      </c>
      <c r="B23" s="107" t="str">
        <f t="shared" ref="B23:L23" si="6">IF(B13&gt;B14,"Vmp &gt; Voc","")</f>
        <v/>
      </c>
      <c r="C23" s="127" t="str">
        <f>IF(X40&gt;X41,"Vmp &gt; Voc","")</f>
        <v/>
      </c>
      <c r="D23" s="107" t="str">
        <f t="shared" ref="D23:K23" si="7">IF(D13&gt;D14,"Vmp &gt; Voc","")</f>
        <v/>
      </c>
      <c r="E23" s="107" t="str">
        <f t="shared" si="7"/>
        <v/>
      </c>
      <c r="F23" s="107" t="str">
        <f t="shared" si="7"/>
        <v/>
      </c>
      <c r="G23" s="107" t="str">
        <f t="shared" si="7"/>
        <v/>
      </c>
      <c r="H23" s="107" t="str">
        <f t="shared" si="7"/>
        <v/>
      </c>
      <c r="I23" s="107" t="str">
        <f t="shared" si="7"/>
        <v/>
      </c>
      <c r="J23" s="107" t="str">
        <f t="shared" si="7"/>
        <v/>
      </c>
      <c r="K23" s="107" t="str">
        <f t="shared" si="7"/>
        <v/>
      </c>
      <c r="L23" s="107" t="str">
        <f t="shared" si="6"/>
        <v/>
      </c>
      <c r="M23" s="107" t="str">
        <f t="shared" ref="M23:BD23" si="8">IF(M13&gt;M14,"Vmp &gt; Voc","")</f>
        <v/>
      </c>
      <c r="N23" s="107" t="str">
        <f t="shared" si="8"/>
        <v/>
      </c>
      <c r="O23" s="107" t="str">
        <f t="shared" si="8"/>
        <v/>
      </c>
      <c r="P23" s="107" t="str">
        <f t="shared" si="8"/>
        <v/>
      </c>
      <c r="Q23" s="107" t="str">
        <f t="shared" si="8"/>
        <v/>
      </c>
      <c r="R23" s="107" t="str">
        <f t="shared" si="8"/>
        <v/>
      </c>
      <c r="S23" s="107" t="str">
        <f t="shared" si="8"/>
        <v/>
      </c>
      <c r="T23" s="107" t="str">
        <f t="shared" si="8"/>
        <v/>
      </c>
      <c r="U23" s="107" t="str">
        <f t="shared" si="8"/>
        <v/>
      </c>
      <c r="V23" s="107" t="str">
        <f t="shared" si="8"/>
        <v/>
      </c>
      <c r="W23" s="107" t="str">
        <f t="shared" si="8"/>
        <v/>
      </c>
      <c r="X23" s="107" t="str">
        <f t="shared" si="8"/>
        <v/>
      </c>
      <c r="Y23" s="107" t="str">
        <f t="shared" si="8"/>
        <v/>
      </c>
      <c r="Z23" s="107" t="str">
        <f t="shared" si="8"/>
        <v/>
      </c>
      <c r="AA23" s="107" t="str">
        <f t="shared" si="8"/>
        <v/>
      </c>
      <c r="AB23" s="107" t="str">
        <f t="shared" si="8"/>
        <v/>
      </c>
      <c r="AC23" s="107" t="str">
        <f t="shared" si="8"/>
        <v/>
      </c>
      <c r="AD23" s="107" t="str">
        <f t="shared" si="8"/>
        <v/>
      </c>
      <c r="AE23" s="107" t="str">
        <f t="shared" si="8"/>
        <v/>
      </c>
      <c r="AF23" s="107" t="str">
        <f t="shared" si="8"/>
        <v/>
      </c>
      <c r="AG23" s="107" t="str">
        <f t="shared" si="8"/>
        <v/>
      </c>
      <c r="AH23" s="107" t="str">
        <f t="shared" si="8"/>
        <v/>
      </c>
      <c r="AI23" s="107" t="str">
        <f t="shared" si="8"/>
        <v/>
      </c>
      <c r="AJ23" s="107" t="str">
        <f t="shared" si="8"/>
        <v/>
      </c>
      <c r="AK23" s="107" t="str">
        <f t="shared" si="8"/>
        <v/>
      </c>
      <c r="AL23" s="107" t="str">
        <f t="shared" si="8"/>
        <v/>
      </c>
      <c r="AM23" s="107" t="str">
        <f t="shared" si="8"/>
        <v/>
      </c>
      <c r="AN23" s="107" t="str">
        <f t="shared" si="8"/>
        <v/>
      </c>
      <c r="AO23" s="107" t="str">
        <f t="shared" si="8"/>
        <v/>
      </c>
      <c r="AP23" s="107" t="str">
        <f t="shared" si="8"/>
        <v/>
      </c>
      <c r="AQ23" s="107" t="str">
        <f t="shared" si="8"/>
        <v/>
      </c>
      <c r="AR23" s="107" t="str">
        <f t="shared" si="8"/>
        <v/>
      </c>
      <c r="AS23" s="107" t="str">
        <f t="shared" si="8"/>
        <v/>
      </c>
      <c r="AT23" s="107" t="str">
        <f t="shared" si="8"/>
        <v/>
      </c>
      <c r="AU23" s="107" t="str">
        <f t="shared" si="8"/>
        <v/>
      </c>
      <c r="AV23" s="107" t="str">
        <f t="shared" si="8"/>
        <v/>
      </c>
      <c r="AW23" s="107" t="str">
        <f t="shared" si="8"/>
        <v/>
      </c>
      <c r="AX23" s="107" t="str">
        <f t="shared" si="8"/>
        <v/>
      </c>
      <c r="AY23" s="107" t="str">
        <f t="shared" si="8"/>
        <v/>
      </c>
      <c r="AZ23" s="107" t="str">
        <f t="shared" si="8"/>
        <v/>
      </c>
      <c r="BA23" s="107" t="str">
        <f t="shared" si="8"/>
        <v/>
      </c>
      <c r="BB23" s="107" t="str">
        <f t="shared" si="8"/>
        <v/>
      </c>
      <c r="BC23" s="107" t="str">
        <f t="shared" si="8"/>
        <v/>
      </c>
      <c r="BD23" s="107" t="str">
        <f t="shared" si="8"/>
        <v/>
      </c>
      <c r="BE23" s="107" t="str">
        <f t="shared" ref="BE23:BJ23" si="9">IF(BE13&gt;BE14,"Vmp &gt; Voc","")</f>
        <v/>
      </c>
      <c r="BF23" s="107" t="str">
        <f t="shared" si="9"/>
        <v/>
      </c>
      <c r="BG23" s="107" t="str">
        <f t="shared" si="9"/>
        <v/>
      </c>
      <c r="BH23" s="107" t="str">
        <f t="shared" si="9"/>
        <v/>
      </c>
      <c r="BI23" s="107" t="str">
        <f t="shared" si="9"/>
        <v/>
      </c>
      <c r="BJ23" s="107" t="str">
        <f t="shared" si="9"/>
        <v/>
      </c>
      <c r="BK23" s="107" t="str">
        <f t="shared" ref="BK23:CN23" si="10">IF(BK13&gt;BK14,"Vmp &gt; Voc","")</f>
        <v/>
      </c>
      <c r="BL23" s="107" t="str">
        <f t="shared" si="10"/>
        <v/>
      </c>
      <c r="BM23" s="107" t="str">
        <f t="shared" si="10"/>
        <v/>
      </c>
      <c r="BN23" s="107" t="str">
        <f t="shared" si="10"/>
        <v/>
      </c>
      <c r="BO23" s="107" t="str">
        <f t="shared" si="10"/>
        <v/>
      </c>
      <c r="BP23" s="107" t="str">
        <f t="shared" si="10"/>
        <v/>
      </c>
      <c r="BQ23" s="107" t="str">
        <f t="shared" si="10"/>
        <v/>
      </c>
      <c r="BR23" s="107" t="str">
        <f t="shared" si="10"/>
        <v/>
      </c>
      <c r="BS23" s="107" t="str">
        <f t="shared" si="10"/>
        <v/>
      </c>
      <c r="BT23" s="107" t="str">
        <f t="shared" si="10"/>
        <v/>
      </c>
      <c r="BU23" s="107" t="str">
        <f t="shared" si="10"/>
        <v/>
      </c>
      <c r="BV23" s="107" t="str">
        <f t="shared" si="10"/>
        <v/>
      </c>
      <c r="BW23" s="107" t="str">
        <f t="shared" si="10"/>
        <v/>
      </c>
      <c r="BX23" s="107" t="str">
        <f t="shared" si="10"/>
        <v/>
      </c>
      <c r="BY23" s="107" t="str">
        <f t="shared" si="10"/>
        <v/>
      </c>
      <c r="BZ23" s="107" t="str">
        <f t="shared" si="10"/>
        <v/>
      </c>
      <c r="CA23" s="107" t="str">
        <f t="shared" si="10"/>
        <v/>
      </c>
      <c r="CB23" s="107" t="str">
        <f t="shared" si="10"/>
        <v/>
      </c>
      <c r="CC23" s="107" t="str">
        <f t="shared" si="10"/>
        <v/>
      </c>
      <c r="CD23" s="107" t="str">
        <f t="shared" si="10"/>
        <v/>
      </c>
      <c r="CE23" s="107" t="str">
        <f t="shared" si="10"/>
        <v/>
      </c>
      <c r="CF23" s="107" t="str">
        <f t="shared" si="10"/>
        <v/>
      </c>
      <c r="CG23" s="107" t="str">
        <f t="shared" si="10"/>
        <v/>
      </c>
      <c r="CH23" s="107" t="str">
        <f t="shared" si="10"/>
        <v/>
      </c>
      <c r="CI23" s="107" t="str">
        <f t="shared" si="10"/>
        <v/>
      </c>
      <c r="CJ23" s="107" t="str">
        <f t="shared" si="10"/>
        <v/>
      </c>
      <c r="CK23" s="107" t="str">
        <f t="shared" si="10"/>
        <v/>
      </c>
      <c r="CL23" s="107" t="str">
        <f t="shared" si="10"/>
        <v/>
      </c>
      <c r="CM23" s="107" t="str">
        <f t="shared" si="10"/>
        <v/>
      </c>
      <c r="CN23" s="107" t="str">
        <f t="shared" si="10"/>
        <v/>
      </c>
    </row>
    <row r="24" spans="1:92" x14ac:dyDescent="0.25">
      <c r="A24" s="3" t="s">
        <v>270</v>
      </c>
      <c r="B24" t="str">
        <f t="shared" ref="B24:L24" si="11">IF(B8&gt;0,"Coef tensão POSITIVO","")</f>
        <v/>
      </c>
      <c r="C24" s="1" t="str">
        <f>IF(X35&gt;0,"Coef tensão POSITIVO","")</f>
        <v/>
      </c>
      <c r="D24" t="str">
        <f t="shared" ref="D24:K24" si="12">IF(D8&gt;0,"Coef tensão POSITIVO","")</f>
        <v/>
      </c>
      <c r="E24" t="str">
        <f t="shared" si="12"/>
        <v/>
      </c>
      <c r="F24" t="str">
        <f t="shared" si="12"/>
        <v/>
      </c>
      <c r="G24" t="str">
        <f t="shared" si="12"/>
        <v/>
      </c>
      <c r="H24" t="str">
        <f t="shared" si="12"/>
        <v/>
      </c>
      <c r="I24" t="str">
        <f t="shared" si="12"/>
        <v/>
      </c>
      <c r="J24" t="str">
        <f t="shared" si="12"/>
        <v/>
      </c>
      <c r="K24" t="str">
        <f t="shared" si="12"/>
        <v/>
      </c>
      <c r="L24" t="str">
        <f t="shared" si="11"/>
        <v/>
      </c>
      <c r="M24" t="str">
        <f t="shared" ref="M24:BD24" si="13">IF(M8&gt;0,"Coef tensão POSITIVO","")</f>
        <v/>
      </c>
      <c r="N24" t="str">
        <f t="shared" si="13"/>
        <v/>
      </c>
      <c r="O24" t="str">
        <f t="shared" si="13"/>
        <v/>
      </c>
      <c r="P24" t="str">
        <f t="shared" si="13"/>
        <v/>
      </c>
      <c r="Q24" t="str">
        <f t="shared" si="13"/>
        <v/>
      </c>
      <c r="R24" t="str">
        <f t="shared" si="13"/>
        <v/>
      </c>
      <c r="S24" t="str">
        <f t="shared" si="13"/>
        <v/>
      </c>
      <c r="T24" t="str">
        <f t="shared" si="13"/>
        <v/>
      </c>
      <c r="U24" t="str">
        <f t="shared" si="13"/>
        <v/>
      </c>
      <c r="V24" t="str">
        <f t="shared" si="13"/>
        <v/>
      </c>
      <c r="W24" t="str">
        <f t="shared" si="13"/>
        <v/>
      </c>
      <c r="X24" t="str">
        <f t="shared" si="13"/>
        <v/>
      </c>
      <c r="Y24" t="str">
        <f t="shared" si="13"/>
        <v/>
      </c>
      <c r="Z24" t="str">
        <f t="shared" si="13"/>
        <v/>
      </c>
      <c r="AA24" t="str">
        <f t="shared" si="13"/>
        <v/>
      </c>
      <c r="AB24" t="str">
        <f t="shared" si="13"/>
        <v/>
      </c>
      <c r="AC24" t="str">
        <f t="shared" si="13"/>
        <v/>
      </c>
      <c r="AD24" t="str">
        <f t="shared" si="13"/>
        <v/>
      </c>
      <c r="AE24" t="str">
        <f t="shared" si="13"/>
        <v/>
      </c>
      <c r="AF24" t="str">
        <f t="shared" si="13"/>
        <v/>
      </c>
      <c r="AG24" t="str">
        <f t="shared" si="13"/>
        <v/>
      </c>
      <c r="AH24" t="str">
        <f t="shared" si="13"/>
        <v/>
      </c>
      <c r="AI24" t="str">
        <f t="shared" si="13"/>
        <v/>
      </c>
      <c r="AJ24" t="str">
        <f t="shared" si="13"/>
        <v/>
      </c>
      <c r="AK24" t="str">
        <f t="shared" si="13"/>
        <v/>
      </c>
      <c r="AL24" t="str">
        <f t="shared" si="13"/>
        <v/>
      </c>
      <c r="AM24" t="str">
        <f t="shared" si="13"/>
        <v/>
      </c>
      <c r="AN24" t="str">
        <f t="shared" si="13"/>
        <v/>
      </c>
      <c r="AO24" t="str">
        <f t="shared" si="13"/>
        <v/>
      </c>
      <c r="AP24" t="str">
        <f t="shared" si="13"/>
        <v/>
      </c>
      <c r="AQ24" t="str">
        <f t="shared" si="13"/>
        <v/>
      </c>
      <c r="AR24" t="str">
        <f t="shared" si="13"/>
        <v/>
      </c>
      <c r="AS24" t="str">
        <f t="shared" si="13"/>
        <v/>
      </c>
      <c r="AT24" t="str">
        <f t="shared" si="13"/>
        <v/>
      </c>
      <c r="AU24" t="str">
        <f t="shared" si="13"/>
        <v/>
      </c>
      <c r="AV24" t="str">
        <f t="shared" si="13"/>
        <v/>
      </c>
      <c r="AW24" t="str">
        <f t="shared" si="13"/>
        <v/>
      </c>
      <c r="AX24" t="str">
        <f t="shared" si="13"/>
        <v/>
      </c>
      <c r="AY24" t="str">
        <f t="shared" si="13"/>
        <v/>
      </c>
      <c r="AZ24" t="str">
        <f t="shared" si="13"/>
        <v/>
      </c>
      <c r="BA24" t="str">
        <f t="shared" si="13"/>
        <v/>
      </c>
      <c r="BB24" t="str">
        <f t="shared" si="13"/>
        <v/>
      </c>
      <c r="BC24" t="str">
        <f t="shared" si="13"/>
        <v/>
      </c>
      <c r="BD24" t="str">
        <f t="shared" si="13"/>
        <v/>
      </c>
      <c r="BE24" t="str">
        <f t="shared" ref="BE24:BJ24" si="14">IF(BE8&gt;0,"Coef tensão POSITIVO","")</f>
        <v/>
      </c>
      <c r="BF24" t="str">
        <f t="shared" si="14"/>
        <v/>
      </c>
      <c r="BG24" t="str">
        <f t="shared" si="14"/>
        <v/>
      </c>
      <c r="BH24" t="str">
        <f t="shared" si="14"/>
        <v/>
      </c>
      <c r="BI24" t="str">
        <f t="shared" si="14"/>
        <v/>
      </c>
      <c r="BJ24" t="str">
        <f t="shared" si="14"/>
        <v/>
      </c>
      <c r="BK24" t="str">
        <f t="shared" ref="BK24:CN24" si="15">IF(BK8&gt;0,"Coef tensão POSITIVO","")</f>
        <v/>
      </c>
      <c r="BL24" t="str">
        <f t="shared" si="15"/>
        <v/>
      </c>
      <c r="BM24" t="str">
        <f t="shared" si="15"/>
        <v/>
      </c>
      <c r="BN24" t="str">
        <f t="shared" si="15"/>
        <v/>
      </c>
      <c r="BO24" t="str">
        <f t="shared" si="15"/>
        <v/>
      </c>
      <c r="BP24" t="str">
        <f t="shared" si="15"/>
        <v/>
      </c>
      <c r="BQ24" t="str">
        <f t="shared" si="15"/>
        <v/>
      </c>
      <c r="BR24" t="str">
        <f t="shared" si="15"/>
        <v/>
      </c>
      <c r="BS24" t="str">
        <f t="shared" si="15"/>
        <v/>
      </c>
      <c r="BT24" t="str">
        <f t="shared" si="15"/>
        <v/>
      </c>
      <c r="BU24" t="str">
        <f t="shared" si="15"/>
        <v/>
      </c>
      <c r="BV24" t="str">
        <f t="shared" si="15"/>
        <v/>
      </c>
      <c r="BW24" t="str">
        <f t="shared" si="15"/>
        <v/>
      </c>
      <c r="BX24" t="str">
        <f t="shared" si="15"/>
        <v/>
      </c>
      <c r="BY24" t="str">
        <f t="shared" si="15"/>
        <v/>
      </c>
      <c r="BZ24" t="str">
        <f t="shared" si="15"/>
        <v/>
      </c>
      <c r="CA24" t="str">
        <f t="shared" si="15"/>
        <v/>
      </c>
      <c r="CB24" t="str">
        <f t="shared" si="15"/>
        <v/>
      </c>
      <c r="CC24" t="str">
        <f t="shared" si="15"/>
        <v/>
      </c>
      <c r="CD24" t="str">
        <f t="shared" si="15"/>
        <v/>
      </c>
      <c r="CE24" t="str">
        <f t="shared" si="15"/>
        <v/>
      </c>
      <c r="CF24" t="str">
        <f t="shared" si="15"/>
        <v/>
      </c>
      <c r="CG24" t="str">
        <f t="shared" si="15"/>
        <v/>
      </c>
      <c r="CH24" t="str">
        <f t="shared" si="15"/>
        <v/>
      </c>
      <c r="CI24" t="str">
        <f t="shared" si="15"/>
        <v/>
      </c>
      <c r="CJ24" t="str">
        <f t="shared" si="15"/>
        <v/>
      </c>
      <c r="CK24" t="str">
        <f t="shared" si="15"/>
        <v/>
      </c>
      <c r="CL24" t="str">
        <f t="shared" si="15"/>
        <v/>
      </c>
      <c r="CM24" t="str">
        <f t="shared" si="15"/>
        <v/>
      </c>
      <c r="CN24" t="str">
        <f t="shared" si="15"/>
        <v/>
      </c>
    </row>
    <row r="25" spans="1:92" x14ac:dyDescent="0.25">
      <c r="A25" s="108" t="s">
        <v>271</v>
      </c>
      <c r="B25" t="str">
        <f t="shared" ref="B25:L25" si="16">IF(B9&lt;0,"Coef corrente NEGATIVO","")</f>
        <v/>
      </c>
      <c r="C25" s="1" t="str">
        <f>IF(X36&lt;0,"Coef corrente NEGATIVO","")</f>
        <v/>
      </c>
      <c r="D25" t="str">
        <f t="shared" ref="D25:K25" si="17">IF(D9&lt;0,"Coef corrente NEGATIVO","")</f>
        <v/>
      </c>
      <c r="E25" t="str">
        <f t="shared" si="17"/>
        <v/>
      </c>
      <c r="F25" t="str">
        <f t="shared" si="17"/>
        <v/>
      </c>
      <c r="G25" t="str">
        <f t="shared" si="17"/>
        <v/>
      </c>
      <c r="H25" t="str">
        <f t="shared" si="17"/>
        <v/>
      </c>
      <c r="I25" t="str">
        <f t="shared" si="17"/>
        <v/>
      </c>
      <c r="J25" t="str">
        <f t="shared" si="17"/>
        <v/>
      </c>
      <c r="K25" t="str">
        <f t="shared" si="17"/>
        <v/>
      </c>
      <c r="L25" t="str">
        <f t="shared" si="16"/>
        <v/>
      </c>
      <c r="M25" t="str">
        <f t="shared" ref="M25:BD25" si="18">IF(M9&lt;0,"Coef corrente NEGATIVO","")</f>
        <v/>
      </c>
      <c r="N25" t="str">
        <f t="shared" si="18"/>
        <v/>
      </c>
      <c r="O25" t="str">
        <f t="shared" si="18"/>
        <v/>
      </c>
      <c r="P25" t="str">
        <f t="shared" si="18"/>
        <v/>
      </c>
      <c r="Q25" t="str">
        <f t="shared" si="18"/>
        <v/>
      </c>
      <c r="R25" t="str">
        <f t="shared" si="18"/>
        <v/>
      </c>
      <c r="S25" t="str">
        <f t="shared" si="18"/>
        <v/>
      </c>
      <c r="T25" t="str">
        <f t="shared" si="18"/>
        <v/>
      </c>
      <c r="U25" t="str">
        <f t="shared" si="18"/>
        <v/>
      </c>
      <c r="V25" t="str">
        <f t="shared" si="18"/>
        <v/>
      </c>
      <c r="W25" t="str">
        <f t="shared" si="18"/>
        <v/>
      </c>
      <c r="X25" t="str">
        <f t="shared" si="18"/>
        <v/>
      </c>
      <c r="Y25" t="str">
        <f t="shared" si="18"/>
        <v/>
      </c>
      <c r="Z25" t="str">
        <f t="shared" si="18"/>
        <v/>
      </c>
      <c r="AA25" t="str">
        <f t="shared" si="18"/>
        <v/>
      </c>
      <c r="AB25" t="str">
        <f t="shared" si="18"/>
        <v/>
      </c>
      <c r="AC25" t="str">
        <f t="shared" si="18"/>
        <v/>
      </c>
      <c r="AD25" t="str">
        <f t="shared" si="18"/>
        <v/>
      </c>
      <c r="AE25" t="str">
        <f t="shared" si="18"/>
        <v/>
      </c>
      <c r="AF25" t="str">
        <f t="shared" si="18"/>
        <v/>
      </c>
      <c r="AG25" t="str">
        <f t="shared" si="18"/>
        <v/>
      </c>
      <c r="AH25" t="str">
        <f t="shared" si="18"/>
        <v/>
      </c>
      <c r="AI25" t="str">
        <f t="shared" si="18"/>
        <v/>
      </c>
      <c r="AJ25" t="str">
        <f t="shared" si="18"/>
        <v/>
      </c>
      <c r="AK25" t="str">
        <f t="shared" si="18"/>
        <v/>
      </c>
      <c r="AL25" t="str">
        <f t="shared" si="18"/>
        <v/>
      </c>
      <c r="AM25" t="str">
        <f t="shared" si="18"/>
        <v/>
      </c>
      <c r="AN25" t="str">
        <f t="shared" si="18"/>
        <v/>
      </c>
      <c r="AO25" t="str">
        <f t="shared" si="18"/>
        <v/>
      </c>
      <c r="AP25" t="str">
        <f t="shared" si="18"/>
        <v/>
      </c>
      <c r="AQ25" t="str">
        <f t="shared" si="18"/>
        <v/>
      </c>
      <c r="AR25" t="str">
        <f t="shared" si="18"/>
        <v/>
      </c>
      <c r="AS25" t="str">
        <f t="shared" si="18"/>
        <v/>
      </c>
      <c r="AT25" t="str">
        <f t="shared" si="18"/>
        <v/>
      </c>
      <c r="AU25" t="str">
        <f t="shared" si="18"/>
        <v/>
      </c>
      <c r="AV25" t="str">
        <f t="shared" si="18"/>
        <v/>
      </c>
      <c r="AW25" t="str">
        <f t="shared" si="18"/>
        <v/>
      </c>
      <c r="AX25" t="str">
        <f t="shared" si="18"/>
        <v/>
      </c>
      <c r="AY25" t="str">
        <f t="shared" si="18"/>
        <v/>
      </c>
      <c r="AZ25" t="str">
        <f t="shared" si="18"/>
        <v/>
      </c>
      <c r="BA25" t="str">
        <f t="shared" si="18"/>
        <v/>
      </c>
      <c r="BB25" t="str">
        <f t="shared" si="18"/>
        <v/>
      </c>
      <c r="BC25" t="str">
        <f t="shared" si="18"/>
        <v/>
      </c>
      <c r="BD25" t="str">
        <f t="shared" si="18"/>
        <v/>
      </c>
      <c r="BE25" t="str">
        <f t="shared" ref="BE25:BJ25" si="19">IF(BE9&lt;0,"Coef corrente NEGATIVO","")</f>
        <v/>
      </c>
      <c r="BF25" t="str">
        <f t="shared" si="19"/>
        <v/>
      </c>
      <c r="BG25" t="str">
        <f t="shared" si="19"/>
        <v/>
      </c>
      <c r="BH25" t="str">
        <f t="shared" si="19"/>
        <v/>
      </c>
      <c r="BI25" t="str">
        <f t="shared" si="19"/>
        <v/>
      </c>
      <c r="BJ25" t="str">
        <f t="shared" si="19"/>
        <v/>
      </c>
      <c r="BK25" t="str">
        <f t="shared" ref="BK25:CN25" si="20">IF(BK9&lt;0,"Coef corrente NEGATIVO","")</f>
        <v/>
      </c>
      <c r="BL25" t="str">
        <f t="shared" si="20"/>
        <v/>
      </c>
      <c r="BM25" t="str">
        <f t="shared" si="20"/>
        <v/>
      </c>
      <c r="BN25" t="str">
        <f t="shared" si="20"/>
        <v/>
      </c>
      <c r="BO25" t="str">
        <f t="shared" si="20"/>
        <v/>
      </c>
      <c r="BP25" t="str">
        <f t="shared" si="20"/>
        <v/>
      </c>
      <c r="BQ25" t="str">
        <f t="shared" si="20"/>
        <v/>
      </c>
      <c r="BR25" t="str">
        <f t="shared" si="20"/>
        <v/>
      </c>
      <c r="BS25" t="str">
        <f t="shared" si="20"/>
        <v/>
      </c>
      <c r="BT25" t="str">
        <f t="shared" si="20"/>
        <v/>
      </c>
      <c r="BU25" t="str">
        <f t="shared" si="20"/>
        <v/>
      </c>
      <c r="BV25" t="str">
        <f t="shared" si="20"/>
        <v/>
      </c>
      <c r="BW25" t="str">
        <f t="shared" si="20"/>
        <v/>
      </c>
      <c r="BX25" t="str">
        <f t="shared" si="20"/>
        <v/>
      </c>
      <c r="BY25" t="str">
        <f t="shared" si="20"/>
        <v/>
      </c>
      <c r="BZ25" t="str">
        <f t="shared" si="20"/>
        <v/>
      </c>
      <c r="CA25" t="str">
        <f t="shared" si="20"/>
        <v/>
      </c>
      <c r="CB25" t="str">
        <f t="shared" si="20"/>
        <v/>
      </c>
      <c r="CC25" t="str">
        <f t="shared" si="20"/>
        <v/>
      </c>
      <c r="CD25" t="str">
        <f t="shared" si="20"/>
        <v/>
      </c>
      <c r="CE25" t="str">
        <f t="shared" si="20"/>
        <v/>
      </c>
      <c r="CF25" t="str">
        <f t="shared" si="20"/>
        <v/>
      </c>
      <c r="CG25" t="str">
        <f t="shared" si="20"/>
        <v/>
      </c>
      <c r="CH25" t="str">
        <f t="shared" si="20"/>
        <v/>
      </c>
      <c r="CI25" t="str">
        <f t="shared" si="20"/>
        <v/>
      </c>
      <c r="CJ25" t="str">
        <f t="shared" si="20"/>
        <v/>
      </c>
      <c r="CK25" t="str">
        <f t="shared" si="20"/>
        <v/>
      </c>
      <c r="CL25" t="str">
        <f t="shared" si="20"/>
        <v/>
      </c>
      <c r="CM25" t="str">
        <f t="shared" si="20"/>
        <v/>
      </c>
      <c r="CN25" t="str">
        <f t="shared" si="20"/>
        <v/>
      </c>
    </row>
    <row r="26" spans="1:92" x14ac:dyDescent="0.25">
      <c r="A26" s="108" t="s">
        <v>272</v>
      </c>
      <c r="B26" t="str">
        <f t="shared" ref="B26:L26" si="21">IF(B10&gt;0,"Coef potência POSITIVO","")</f>
        <v/>
      </c>
      <c r="C26" s="1" t="str">
        <f>IF(X37&gt;0,"Coef potência POSITIVO","")</f>
        <v/>
      </c>
      <c r="D26" t="str">
        <f t="shared" ref="D26:K26" si="22">IF(D10&gt;0,"Coef potência POSITIVO","")</f>
        <v/>
      </c>
      <c r="E26" t="str">
        <f t="shared" si="22"/>
        <v/>
      </c>
      <c r="F26" t="str">
        <f t="shared" si="22"/>
        <v/>
      </c>
      <c r="G26" t="str">
        <f t="shared" si="22"/>
        <v/>
      </c>
      <c r="H26" t="str">
        <f t="shared" si="22"/>
        <v/>
      </c>
      <c r="I26" t="str">
        <f t="shared" si="22"/>
        <v/>
      </c>
      <c r="J26" t="str">
        <f t="shared" si="22"/>
        <v/>
      </c>
      <c r="K26" t="str">
        <f t="shared" si="22"/>
        <v/>
      </c>
      <c r="L26" t="str">
        <f t="shared" si="21"/>
        <v/>
      </c>
      <c r="M26" t="str">
        <f t="shared" ref="M26:BD26" si="23">IF(M10&gt;0,"Coef potência POSITIVO","")</f>
        <v/>
      </c>
      <c r="N26" t="str">
        <f t="shared" si="23"/>
        <v/>
      </c>
      <c r="O26" t="str">
        <f t="shared" si="23"/>
        <v/>
      </c>
      <c r="P26" t="str">
        <f t="shared" si="23"/>
        <v/>
      </c>
      <c r="Q26" t="str">
        <f t="shared" si="23"/>
        <v/>
      </c>
      <c r="R26" t="str">
        <f t="shared" si="23"/>
        <v/>
      </c>
      <c r="S26" t="str">
        <f t="shared" si="23"/>
        <v/>
      </c>
      <c r="T26" t="str">
        <f t="shared" si="23"/>
        <v/>
      </c>
      <c r="U26" t="str">
        <f t="shared" si="23"/>
        <v/>
      </c>
      <c r="V26" t="str">
        <f t="shared" si="23"/>
        <v/>
      </c>
      <c r="W26" t="str">
        <f t="shared" si="23"/>
        <v/>
      </c>
      <c r="X26" t="str">
        <f t="shared" si="23"/>
        <v/>
      </c>
      <c r="Y26" t="str">
        <f t="shared" si="23"/>
        <v/>
      </c>
      <c r="Z26" t="str">
        <f t="shared" si="23"/>
        <v/>
      </c>
      <c r="AA26" t="str">
        <f t="shared" si="23"/>
        <v/>
      </c>
      <c r="AB26" t="str">
        <f t="shared" si="23"/>
        <v/>
      </c>
      <c r="AC26" t="str">
        <f t="shared" si="23"/>
        <v/>
      </c>
      <c r="AD26" t="str">
        <f t="shared" si="23"/>
        <v/>
      </c>
      <c r="AE26" t="str">
        <f t="shared" si="23"/>
        <v/>
      </c>
      <c r="AF26" t="str">
        <f t="shared" si="23"/>
        <v/>
      </c>
      <c r="AG26" t="str">
        <f t="shared" si="23"/>
        <v/>
      </c>
      <c r="AH26" t="str">
        <f t="shared" si="23"/>
        <v/>
      </c>
      <c r="AI26" t="str">
        <f t="shared" si="23"/>
        <v/>
      </c>
      <c r="AJ26" t="str">
        <f t="shared" si="23"/>
        <v/>
      </c>
      <c r="AK26" t="str">
        <f t="shared" si="23"/>
        <v/>
      </c>
      <c r="AL26" t="str">
        <f t="shared" si="23"/>
        <v/>
      </c>
      <c r="AM26" t="str">
        <f t="shared" si="23"/>
        <v/>
      </c>
      <c r="AN26" t="str">
        <f t="shared" si="23"/>
        <v/>
      </c>
      <c r="AO26" t="str">
        <f t="shared" si="23"/>
        <v/>
      </c>
      <c r="AP26" t="str">
        <f t="shared" si="23"/>
        <v/>
      </c>
      <c r="AQ26" t="str">
        <f t="shared" si="23"/>
        <v/>
      </c>
      <c r="AR26" t="str">
        <f t="shared" si="23"/>
        <v/>
      </c>
      <c r="AS26" t="str">
        <f t="shared" si="23"/>
        <v/>
      </c>
      <c r="AT26" t="str">
        <f t="shared" si="23"/>
        <v/>
      </c>
      <c r="AU26" t="str">
        <f t="shared" si="23"/>
        <v/>
      </c>
      <c r="AV26" t="str">
        <f t="shared" si="23"/>
        <v/>
      </c>
      <c r="AW26" t="str">
        <f t="shared" si="23"/>
        <v/>
      </c>
      <c r="AX26" t="str">
        <f t="shared" si="23"/>
        <v/>
      </c>
      <c r="AY26" t="str">
        <f t="shared" si="23"/>
        <v/>
      </c>
      <c r="AZ26" t="str">
        <f t="shared" si="23"/>
        <v/>
      </c>
      <c r="BA26" t="str">
        <f t="shared" si="23"/>
        <v/>
      </c>
      <c r="BB26" t="str">
        <f t="shared" si="23"/>
        <v/>
      </c>
      <c r="BC26" t="str">
        <f t="shared" si="23"/>
        <v/>
      </c>
      <c r="BD26" t="str">
        <f t="shared" si="23"/>
        <v/>
      </c>
      <c r="BE26" t="str">
        <f t="shared" ref="BE26:BJ26" si="24">IF(BE10&gt;0,"Coef potência POSITIVO","")</f>
        <v/>
      </c>
      <c r="BF26" t="str">
        <f t="shared" si="24"/>
        <v/>
      </c>
      <c r="BG26" t="str">
        <f t="shared" si="24"/>
        <v/>
      </c>
      <c r="BH26" t="str">
        <f t="shared" si="24"/>
        <v/>
      </c>
      <c r="BI26" t="str">
        <f t="shared" si="24"/>
        <v/>
      </c>
      <c r="BJ26" t="str">
        <f t="shared" si="24"/>
        <v/>
      </c>
      <c r="BK26" t="str">
        <f t="shared" ref="BK26:CN26" si="25">IF(BK10&gt;0,"Coef potência POSITIVO","")</f>
        <v/>
      </c>
      <c r="BL26" t="str">
        <f t="shared" si="25"/>
        <v/>
      </c>
      <c r="BM26" t="str">
        <f t="shared" si="25"/>
        <v/>
      </c>
      <c r="BN26" t="str">
        <f t="shared" si="25"/>
        <v/>
      </c>
      <c r="BO26" t="str">
        <f t="shared" si="25"/>
        <v/>
      </c>
      <c r="BP26" t="str">
        <f t="shared" si="25"/>
        <v/>
      </c>
      <c r="BQ26" t="str">
        <f t="shared" si="25"/>
        <v/>
      </c>
      <c r="BR26" t="str">
        <f t="shared" si="25"/>
        <v/>
      </c>
      <c r="BS26" t="str">
        <f t="shared" si="25"/>
        <v/>
      </c>
      <c r="BT26" t="str">
        <f t="shared" si="25"/>
        <v/>
      </c>
      <c r="BU26" t="str">
        <f t="shared" si="25"/>
        <v/>
      </c>
      <c r="BV26" t="str">
        <f t="shared" si="25"/>
        <v/>
      </c>
      <c r="BW26" t="str">
        <f t="shared" si="25"/>
        <v/>
      </c>
      <c r="BX26" t="str">
        <f t="shared" si="25"/>
        <v/>
      </c>
      <c r="BY26" t="str">
        <f t="shared" si="25"/>
        <v/>
      </c>
      <c r="BZ26" t="str">
        <f t="shared" si="25"/>
        <v/>
      </c>
      <c r="CA26" t="str">
        <f t="shared" si="25"/>
        <v/>
      </c>
      <c r="CB26" t="str">
        <f t="shared" si="25"/>
        <v/>
      </c>
      <c r="CC26" t="str">
        <f t="shared" si="25"/>
        <v/>
      </c>
      <c r="CD26" t="str">
        <f t="shared" si="25"/>
        <v/>
      </c>
      <c r="CE26" t="str">
        <f t="shared" si="25"/>
        <v/>
      </c>
      <c r="CF26" t="str">
        <f t="shared" si="25"/>
        <v/>
      </c>
      <c r="CG26" t="str">
        <f t="shared" si="25"/>
        <v/>
      </c>
      <c r="CH26" t="str">
        <f t="shared" si="25"/>
        <v/>
      </c>
      <c r="CI26" t="str">
        <f t="shared" si="25"/>
        <v/>
      </c>
      <c r="CJ26" t="str">
        <f t="shared" si="25"/>
        <v/>
      </c>
      <c r="CK26" t="str">
        <f t="shared" si="25"/>
        <v/>
      </c>
      <c r="CL26" t="str">
        <f t="shared" si="25"/>
        <v/>
      </c>
      <c r="CM26" t="str">
        <f t="shared" si="25"/>
        <v/>
      </c>
      <c r="CN26" t="str">
        <f t="shared" si="25"/>
        <v/>
      </c>
    </row>
    <row r="27" spans="1:92" x14ac:dyDescent="0.25">
      <c r="A27" s="108"/>
      <c r="B27" s="5"/>
      <c r="U27" s="1"/>
      <c r="V27" s="1"/>
    </row>
    <row r="28" spans="1:92" x14ac:dyDescent="0.25">
      <c r="A28" s="108"/>
      <c r="B28" s="5"/>
      <c r="U28" s="1"/>
      <c r="V28" s="1"/>
    </row>
    <row r="29" spans="1:92" x14ac:dyDescent="0.25">
      <c r="U29" s="1"/>
      <c r="V29" s="1"/>
    </row>
    <row r="31" spans="1:92" x14ac:dyDescent="0.25">
      <c r="Q31" t="s">
        <v>345</v>
      </c>
    </row>
    <row r="32" spans="1:92" x14ac:dyDescent="0.25">
      <c r="A32" s="51" t="s">
        <v>334</v>
      </c>
      <c r="Q32" t="s">
        <v>344</v>
      </c>
    </row>
    <row r="33" spans="2:24" x14ac:dyDescent="0.25">
      <c r="B33" s="4" t="s">
        <v>73</v>
      </c>
      <c r="C33" s="4" t="s">
        <v>74</v>
      </c>
      <c r="D33" s="4" t="s">
        <v>75</v>
      </c>
      <c r="E33" s="4" t="s">
        <v>162</v>
      </c>
      <c r="F33" s="4" t="s">
        <v>160</v>
      </c>
      <c r="G33" s="4" t="s">
        <v>254</v>
      </c>
      <c r="H33" s="4" t="s">
        <v>76</v>
      </c>
      <c r="I33" s="4" t="s">
        <v>264</v>
      </c>
      <c r="J33" s="4" t="s">
        <v>263</v>
      </c>
      <c r="K33" s="4" t="s">
        <v>269</v>
      </c>
      <c r="L33" s="4" t="s">
        <v>246</v>
      </c>
      <c r="M33" s="4" t="s">
        <v>255</v>
      </c>
      <c r="N33" s="4" t="s">
        <v>286</v>
      </c>
      <c r="O33" s="4" t="s">
        <v>287</v>
      </c>
      <c r="P33" s="4" t="s">
        <v>262</v>
      </c>
      <c r="Q33" s="4" t="s">
        <v>335</v>
      </c>
      <c r="R33" s="4" t="s">
        <v>161</v>
      </c>
      <c r="S33" s="4" t="s">
        <v>288</v>
      </c>
      <c r="T33" s="4" t="s">
        <v>406</v>
      </c>
      <c r="U33" s="4" t="s">
        <v>407</v>
      </c>
      <c r="V33" s="4" t="s">
        <v>411</v>
      </c>
      <c r="W33" s="4" t="s">
        <v>465</v>
      </c>
      <c r="X33" s="4" t="s">
        <v>407</v>
      </c>
    </row>
    <row r="34" spans="2:24" x14ac:dyDescent="0.25">
      <c r="B34" s="1">
        <v>320</v>
      </c>
      <c r="C34" s="1">
        <v>330</v>
      </c>
      <c r="D34" s="1">
        <v>400</v>
      </c>
      <c r="E34" s="1">
        <v>440</v>
      </c>
      <c r="F34" s="1">
        <v>540</v>
      </c>
      <c r="G34" s="1">
        <v>545</v>
      </c>
      <c r="H34" s="1">
        <v>340</v>
      </c>
      <c r="I34" s="1">
        <v>540</v>
      </c>
      <c r="J34" s="1">
        <v>550</v>
      </c>
      <c r="K34" s="1">
        <v>550</v>
      </c>
      <c r="L34" s="1">
        <v>450</v>
      </c>
      <c r="M34" s="1">
        <v>545</v>
      </c>
      <c r="N34" s="1">
        <v>450</v>
      </c>
      <c r="O34" s="1">
        <v>465</v>
      </c>
      <c r="P34" s="1">
        <v>550</v>
      </c>
      <c r="Q34" s="1">
        <v>665</v>
      </c>
      <c r="R34" s="1">
        <v>550</v>
      </c>
      <c r="S34" s="1">
        <v>550</v>
      </c>
      <c r="T34" s="1">
        <v>550</v>
      </c>
      <c r="U34" s="1">
        <v>555</v>
      </c>
      <c r="V34" s="1">
        <v>555</v>
      </c>
      <c r="W34" s="1">
        <v>580</v>
      </c>
      <c r="X34" s="1">
        <v>555</v>
      </c>
    </row>
    <row r="35" spans="2:24" x14ac:dyDescent="0.25">
      <c r="B35" s="1">
        <v>-0.32</v>
      </c>
      <c r="C35" s="1">
        <v>-0.32</v>
      </c>
      <c r="D35" s="1">
        <v>-0.31</v>
      </c>
      <c r="E35" s="1">
        <v>-0.31</v>
      </c>
      <c r="F35" s="1">
        <v>-0.31</v>
      </c>
      <c r="G35" s="1">
        <v>-0.31</v>
      </c>
      <c r="H35" s="1">
        <v>-0.3</v>
      </c>
      <c r="I35" s="1">
        <v>-0.25</v>
      </c>
      <c r="J35" s="1">
        <v>-0.32</v>
      </c>
      <c r="K35" s="1">
        <v>-0.31</v>
      </c>
      <c r="L35" s="1">
        <v>-0.28599999999999998</v>
      </c>
      <c r="M35" s="1">
        <v>-0.28499999999999998</v>
      </c>
      <c r="N35" s="1">
        <v>-0.3</v>
      </c>
      <c r="O35" s="1">
        <v>-0.3</v>
      </c>
      <c r="P35" s="1">
        <v>-0.3</v>
      </c>
      <c r="Q35" s="1">
        <v>-0.3</v>
      </c>
      <c r="R35" s="1">
        <v>-0.28000000000000003</v>
      </c>
      <c r="S35" s="1">
        <v>-0.28499999999999998</v>
      </c>
      <c r="T35" s="1">
        <v>-0.27</v>
      </c>
      <c r="U35" s="1">
        <v>-0.27</v>
      </c>
      <c r="V35" s="1">
        <v>-0.28999999999999998</v>
      </c>
      <c r="W35" s="1">
        <v>-0.25</v>
      </c>
      <c r="X35" s="1">
        <v>-0.27</v>
      </c>
    </row>
    <row r="36" spans="2:24" x14ac:dyDescent="0.25">
      <c r="B36" s="1">
        <v>0.05</v>
      </c>
      <c r="C36" s="1">
        <v>0.05</v>
      </c>
      <c r="D36" s="1">
        <v>0.05</v>
      </c>
      <c r="E36" s="1">
        <v>0.05</v>
      </c>
      <c r="F36" s="1">
        <v>0.05</v>
      </c>
      <c r="G36" s="1">
        <v>0.05</v>
      </c>
      <c r="H36" s="1">
        <v>0.06</v>
      </c>
      <c r="I36" s="1">
        <v>0.04</v>
      </c>
      <c r="J36" s="1">
        <v>0.05</v>
      </c>
      <c r="K36" s="1">
        <v>0.05</v>
      </c>
      <c r="L36" s="1">
        <v>5.7000000000000002E-2</v>
      </c>
      <c r="M36" s="1">
        <v>4.4999999999999998E-2</v>
      </c>
      <c r="N36" s="1">
        <v>0.06</v>
      </c>
      <c r="O36" s="1">
        <v>0.06</v>
      </c>
      <c r="P36" s="1">
        <v>0.05</v>
      </c>
      <c r="Q36" s="1">
        <v>0.06</v>
      </c>
      <c r="R36" s="1">
        <v>4.8000000000000001E-2</v>
      </c>
      <c r="S36" s="1">
        <v>4.4999999999999998E-2</v>
      </c>
      <c r="T36" s="1">
        <v>4.8000000000000001E-2</v>
      </c>
      <c r="U36" s="1">
        <v>4.4999999999999998E-2</v>
      </c>
      <c r="V36" s="1">
        <v>0.04</v>
      </c>
      <c r="W36" s="1">
        <v>4.5999999999999999E-2</v>
      </c>
      <c r="X36" s="1">
        <v>4.4999999999999998E-2</v>
      </c>
    </row>
    <row r="37" spans="2:24" x14ac:dyDescent="0.25">
      <c r="B37" s="1">
        <v>-0.41</v>
      </c>
      <c r="C37" s="1">
        <v>-0.41</v>
      </c>
      <c r="D37" s="1">
        <v>-0.38</v>
      </c>
      <c r="E37" s="1">
        <v>-0.35</v>
      </c>
      <c r="F37" s="1">
        <v>-0.35</v>
      </c>
      <c r="G37" s="1">
        <v>-0.35</v>
      </c>
      <c r="H37" s="1">
        <v>-0.4</v>
      </c>
      <c r="I37" s="1">
        <v>-0.34</v>
      </c>
      <c r="J37" s="1">
        <v>-0.39</v>
      </c>
      <c r="K37" s="1">
        <v>-0.35</v>
      </c>
      <c r="L37" s="1">
        <v>-0.37</v>
      </c>
      <c r="M37" s="1">
        <v>-0.35</v>
      </c>
      <c r="N37" s="1">
        <v>-0.37</v>
      </c>
      <c r="O37" s="1">
        <v>-0.37</v>
      </c>
      <c r="P37" s="1">
        <v>-0.37</v>
      </c>
      <c r="Q37" s="1">
        <v>-0.37</v>
      </c>
      <c r="R37" s="1">
        <v>-0.35</v>
      </c>
      <c r="S37" s="1">
        <v>-0.35</v>
      </c>
      <c r="T37" s="1">
        <v>-0.35</v>
      </c>
      <c r="U37" s="1">
        <v>-0.35</v>
      </c>
      <c r="V37" s="1">
        <v>-0.35</v>
      </c>
      <c r="W37" s="1">
        <v>-0.3</v>
      </c>
      <c r="X37" s="1">
        <v>-0.35</v>
      </c>
    </row>
    <row r="38" spans="2:24" x14ac:dyDescent="0.25">
      <c r="B38" s="1">
        <v>37.1</v>
      </c>
      <c r="C38" s="1">
        <v>37.299999999999997</v>
      </c>
      <c r="D38" s="1">
        <v>42.8</v>
      </c>
      <c r="E38" s="1">
        <v>41.8</v>
      </c>
      <c r="F38" s="1">
        <v>41.8</v>
      </c>
      <c r="G38" s="1">
        <v>42.2</v>
      </c>
      <c r="H38" s="1">
        <v>37.42</v>
      </c>
      <c r="I38" s="1">
        <v>31.4</v>
      </c>
      <c r="J38" s="1">
        <v>42</v>
      </c>
      <c r="K38" s="1">
        <v>42.4</v>
      </c>
      <c r="L38" s="1">
        <v>41.4</v>
      </c>
      <c r="M38" s="1">
        <v>41.93</v>
      </c>
      <c r="N38" s="1">
        <v>41.4</v>
      </c>
      <c r="O38" s="1">
        <v>42</v>
      </c>
      <c r="P38" s="1">
        <v>41.85</v>
      </c>
      <c r="Q38" s="1">
        <v>38.1</v>
      </c>
      <c r="R38" s="1">
        <v>40.83</v>
      </c>
      <c r="S38" s="1">
        <v>42.1</v>
      </c>
      <c r="T38" s="1">
        <v>41.28</v>
      </c>
      <c r="U38" s="1">
        <v>42.27</v>
      </c>
      <c r="V38" s="1">
        <v>42.2</v>
      </c>
      <c r="W38" s="1">
        <v>42.37</v>
      </c>
      <c r="X38" s="1">
        <v>42.27</v>
      </c>
    </row>
    <row r="39" spans="2:24" x14ac:dyDescent="0.25">
      <c r="B39" s="1">
        <v>45.8</v>
      </c>
      <c r="C39" s="1">
        <v>46.1</v>
      </c>
      <c r="D39" s="1">
        <v>51.4</v>
      </c>
      <c r="E39" s="1">
        <v>49</v>
      </c>
      <c r="F39" s="1">
        <v>49.8</v>
      </c>
      <c r="G39" s="1">
        <v>50</v>
      </c>
      <c r="H39" s="1">
        <v>44.9</v>
      </c>
      <c r="I39" s="1">
        <v>37.700000000000003</v>
      </c>
      <c r="J39" s="1">
        <v>50.02</v>
      </c>
      <c r="K39" s="1">
        <v>50.2</v>
      </c>
      <c r="L39" s="1">
        <v>50.22</v>
      </c>
      <c r="M39" s="1">
        <f>49.9*1.03</f>
        <v>51.396999999999998</v>
      </c>
      <c r="N39" s="1">
        <v>50</v>
      </c>
      <c r="O39" s="1">
        <v>50.6</v>
      </c>
      <c r="P39" s="1">
        <v>49.8</v>
      </c>
      <c r="Q39" s="1">
        <v>45.8</v>
      </c>
      <c r="R39" s="1">
        <v>49.6</v>
      </c>
      <c r="S39" s="1">
        <f>50.1*1.03</f>
        <v>51.603000000000002</v>
      </c>
      <c r="T39" s="1">
        <v>49.8</v>
      </c>
      <c r="U39" s="1">
        <v>50.3</v>
      </c>
      <c r="V39" s="1">
        <v>50.24</v>
      </c>
      <c r="W39" s="1">
        <v>52.59</v>
      </c>
      <c r="X39" s="1">
        <v>50.3</v>
      </c>
    </row>
    <row r="40" spans="2:24" x14ac:dyDescent="0.25">
      <c r="B40" s="1">
        <v>8.6300000000000008</v>
      </c>
      <c r="C40" s="1">
        <v>8.85</v>
      </c>
      <c r="D40" s="1">
        <v>9.35</v>
      </c>
      <c r="E40" s="1">
        <v>10.52</v>
      </c>
      <c r="F40" s="1">
        <v>12.8</v>
      </c>
      <c r="G40" s="1">
        <v>12.91</v>
      </c>
      <c r="H40" s="1">
        <v>9.09</v>
      </c>
      <c r="I40" s="1">
        <v>17.21</v>
      </c>
      <c r="J40" s="1">
        <v>13.1</v>
      </c>
      <c r="K40" s="1">
        <v>12.97</v>
      </c>
      <c r="L40" s="1">
        <v>10.87</v>
      </c>
      <c r="M40" s="1">
        <v>13</v>
      </c>
      <c r="N40" s="1">
        <v>10.87</v>
      </c>
      <c r="O40" s="1">
        <v>11.07</v>
      </c>
      <c r="P40" s="1">
        <v>13.14</v>
      </c>
      <c r="Q40" s="1">
        <v>17.45</v>
      </c>
      <c r="R40" s="1">
        <v>13.48</v>
      </c>
      <c r="S40" s="1">
        <v>13.06</v>
      </c>
      <c r="T40" s="1">
        <v>13.32</v>
      </c>
      <c r="U40" s="1">
        <v>13.13</v>
      </c>
      <c r="V40" s="1">
        <v>13.17</v>
      </c>
      <c r="W40" s="1">
        <v>13.69</v>
      </c>
      <c r="X40" s="1">
        <v>13.13</v>
      </c>
    </row>
    <row r="41" spans="2:24" x14ac:dyDescent="0.25">
      <c r="B41" s="1">
        <v>9.1</v>
      </c>
      <c r="C41" s="1">
        <v>9.2899999999999991</v>
      </c>
      <c r="D41" s="1">
        <v>9.8699999999999992</v>
      </c>
      <c r="E41" s="1">
        <v>11.29</v>
      </c>
      <c r="F41" s="1">
        <v>13.6</v>
      </c>
      <c r="G41" s="1">
        <v>13.72</v>
      </c>
      <c r="H41" s="1">
        <v>9.82</v>
      </c>
      <c r="I41" s="1">
        <v>18.3</v>
      </c>
      <c r="J41" s="1">
        <v>13.93</v>
      </c>
      <c r="K41" s="1">
        <v>13.78</v>
      </c>
      <c r="L41" s="1">
        <v>11.48</v>
      </c>
      <c r="M41" s="1">
        <f>13.81*1.03</f>
        <v>14.224300000000001</v>
      </c>
      <c r="N41" s="1">
        <v>11.57</v>
      </c>
      <c r="O41" s="1">
        <v>11.62</v>
      </c>
      <c r="P41" s="1">
        <v>13.78</v>
      </c>
      <c r="Q41" s="1">
        <v>19.5</v>
      </c>
      <c r="R41" s="1">
        <v>14.04</v>
      </c>
      <c r="S41" s="1">
        <f>13.9*1.03</f>
        <v>14.317</v>
      </c>
      <c r="T41" s="1">
        <v>14.01</v>
      </c>
      <c r="U41" s="1">
        <v>13.98</v>
      </c>
      <c r="V41" s="1">
        <v>13.98</v>
      </c>
      <c r="W41" s="1">
        <v>14.89</v>
      </c>
      <c r="X41" s="1">
        <v>13.98</v>
      </c>
    </row>
    <row r="42" spans="2:24" x14ac:dyDescent="0.25">
      <c r="T42" s="85"/>
      <c r="U42" s="85"/>
      <c r="V42" s="85"/>
      <c r="W42" s="85"/>
      <c r="X42" s="85"/>
    </row>
    <row r="43" spans="2:24" x14ac:dyDescent="0.25">
      <c r="T43" s="6"/>
      <c r="U43" s="6">
        <f>U42/U34</f>
        <v>0</v>
      </c>
      <c r="V43" s="6"/>
      <c r="W43" s="6"/>
      <c r="X43" s="6">
        <f>X42/X34</f>
        <v>0</v>
      </c>
    </row>
    <row r="44" spans="2:24" x14ac:dyDescent="0.25">
      <c r="T44" s="1" t="s">
        <v>336</v>
      </c>
      <c r="U44" s="1" t="s">
        <v>378</v>
      </c>
      <c r="V44" s="1" t="s">
        <v>424</v>
      </c>
      <c r="W44" s="1" t="s">
        <v>468</v>
      </c>
      <c r="X44" s="1" t="s">
        <v>378</v>
      </c>
    </row>
    <row r="45" spans="2:24" x14ac:dyDescent="0.25">
      <c r="T45" s="1" t="s">
        <v>401</v>
      </c>
      <c r="U45" s="1" t="s">
        <v>402</v>
      </c>
      <c r="V45" s="1" t="s">
        <v>425</v>
      </c>
      <c r="W45" s="1" t="s">
        <v>466</v>
      </c>
      <c r="X45" s="1" t="s">
        <v>402</v>
      </c>
    </row>
    <row r="46" spans="2:24" x14ac:dyDescent="0.25">
      <c r="T46" s="1" t="s">
        <v>404</v>
      </c>
      <c r="U46" s="1" t="s">
        <v>420</v>
      </c>
      <c r="V46" s="1" t="s">
        <v>421</v>
      </c>
      <c r="W46" s="1" t="s">
        <v>420</v>
      </c>
      <c r="X46" s="1" t="s">
        <v>420</v>
      </c>
    </row>
    <row r="47" spans="2:24" x14ac:dyDescent="0.25">
      <c r="T47" s="1" t="s">
        <v>403</v>
      </c>
      <c r="U47" s="1" t="s">
        <v>405</v>
      </c>
      <c r="V47" s="1" t="s">
        <v>413</v>
      </c>
      <c r="W47" s="1" t="s">
        <v>467</v>
      </c>
      <c r="X47" s="1" t="s">
        <v>405</v>
      </c>
    </row>
  </sheetData>
  <sheetProtection algorithmName="SHA-512" hashValue="e26L+xMcb5nWnehxSAdH9nqckSLB+v+uhkdirrD+AoXStB/sAEUl47/OmqIfG7P0NsgdznITj/FhEJmFqg2MNA==" saltValue="rZfHXqPKvlRGB+YwcKGnEw==" spinCount="100000" sheet="1" selectLockedCells="1"/>
  <dataValidations count="1">
    <dataValidation type="list" allowBlank="1" showInputMessage="1" showErrorMessage="1" sqref="B21" xr:uid="{F2A03A03-5A31-4298-9E03-A297BF758D46}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AB5F7-0AFB-480B-94AF-0EF9B571D9BD}">
  <sheetPr codeName="Planilha4"/>
  <dimension ref="A1:K171"/>
  <sheetViews>
    <sheetView topLeftCell="A146" workbookViewId="0">
      <selection activeCell="G168" sqref="G168"/>
    </sheetView>
  </sheetViews>
  <sheetFormatPr defaultColWidth="9.140625" defaultRowHeight="15" x14ac:dyDescent="0.25"/>
  <cols>
    <col min="1" max="1" width="23.5703125" style="87" customWidth="1"/>
    <col min="2" max="2" width="23.5703125" style="69" customWidth="1"/>
    <col min="3" max="3" width="9.140625" style="72"/>
    <col min="4" max="16384" width="9.140625" style="68"/>
  </cols>
  <sheetData>
    <row r="1" spans="1:11" s="71" customFormat="1" ht="45" customHeight="1" x14ac:dyDescent="0.25">
      <c r="A1" s="136" t="s">
        <v>163</v>
      </c>
      <c r="B1" s="89" t="s">
        <v>257</v>
      </c>
      <c r="C1" s="95" t="s">
        <v>170</v>
      </c>
      <c r="D1" s="94"/>
      <c r="E1" s="94"/>
      <c r="F1" s="94"/>
      <c r="G1" s="94"/>
      <c r="H1" s="94"/>
      <c r="I1" s="94"/>
      <c r="J1" s="94"/>
      <c r="K1" s="94"/>
    </row>
    <row r="2" spans="1:11" s="75" customFormat="1" x14ac:dyDescent="0.25">
      <c r="A2" s="90" t="s">
        <v>164</v>
      </c>
      <c r="B2" s="73" t="s">
        <v>171</v>
      </c>
      <c r="C2" s="74" t="s">
        <v>169</v>
      </c>
    </row>
    <row r="3" spans="1:11" s="78" customFormat="1" x14ac:dyDescent="0.25">
      <c r="A3" s="91" t="s">
        <v>165</v>
      </c>
      <c r="B3" s="76" t="s">
        <v>171</v>
      </c>
      <c r="C3" s="77" t="s">
        <v>201</v>
      </c>
    </row>
    <row r="4" spans="1:11" s="81" customFormat="1" x14ac:dyDescent="0.25">
      <c r="A4" s="92" t="s">
        <v>166</v>
      </c>
      <c r="B4" s="79" t="s">
        <v>171</v>
      </c>
      <c r="C4" s="80" t="s">
        <v>172</v>
      </c>
    </row>
    <row r="5" spans="1:11" x14ac:dyDescent="0.25">
      <c r="A5" s="88"/>
      <c r="C5" s="72" t="s">
        <v>173</v>
      </c>
    </row>
    <row r="6" spans="1:11" x14ac:dyDescent="0.25">
      <c r="C6" s="72" t="s">
        <v>176</v>
      </c>
    </row>
    <row r="7" spans="1:11" x14ac:dyDescent="0.25">
      <c r="C7" s="72" t="s">
        <v>175</v>
      </c>
    </row>
    <row r="8" spans="1:11" s="75" customFormat="1" x14ac:dyDescent="0.25">
      <c r="A8" s="90"/>
      <c r="B8" s="73"/>
      <c r="C8" s="74" t="s">
        <v>177</v>
      </c>
    </row>
    <row r="9" spans="1:11" x14ac:dyDescent="0.25">
      <c r="A9" s="87" t="s">
        <v>167</v>
      </c>
      <c r="B9" s="70">
        <v>44057</v>
      </c>
      <c r="C9" s="72" t="s">
        <v>192</v>
      </c>
    </row>
    <row r="10" spans="1:11" x14ac:dyDescent="0.25">
      <c r="C10" s="72" t="s">
        <v>178</v>
      </c>
    </row>
    <row r="11" spans="1:11" x14ac:dyDescent="0.25">
      <c r="C11" s="72" t="s">
        <v>179</v>
      </c>
    </row>
    <row r="12" spans="1:11" s="75" customFormat="1" x14ac:dyDescent="0.25">
      <c r="A12" s="90"/>
      <c r="B12" s="73"/>
      <c r="C12" s="74" t="s">
        <v>180</v>
      </c>
    </row>
    <row r="13" spans="1:11" x14ac:dyDescent="0.25">
      <c r="A13" s="87" t="s">
        <v>182</v>
      </c>
      <c r="B13" s="70">
        <v>44202</v>
      </c>
      <c r="C13" s="72" t="s">
        <v>184</v>
      </c>
    </row>
    <row r="14" spans="1:11" x14ac:dyDescent="0.25">
      <c r="C14" s="72" t="s">
        <v>185</v>
      </c>
    </row>
    <row r="15" spans="1:11" x14ac:dyDescent="0.25">
      <c r="C15" s="72" t="s">
        <v>187</v>
      </c>
    </row>
    <row r="16" spans="1:11" x14ac:dyDescent="0.25">
      <c r="C16" s="72" t="s">
        <v>186</v>
      </c>
    </row>
    <row r="17" spans="1:3" x14ac:dyDescent="0.25">
      <c r="C17" s="72" t="s">
        <v>188</v>
      </c>
    </row>
    <row r="18" spans="1:3" s="75" customFormat="1" x14ac:dyDescent="0.25">
      <c r="A18" s="90"/>
      <c r="B18" s="73"/>
      <c r="C18" s="74" t="s">
        <v>189</v>
      </c>
    </row>
    <row r="19" spans="1:3" x14ac:dyDescent="0.25">
      <c r="A19" s="87" t="s">
        <v>168</v>
      </c>
      <c r="B19" s="70">
        <v>44266</v>
      </c>
      <c r="C19" s="72" t="s">
        <v>181</v>
      </c>
    </row>
    <row r="20" spans="1:3" x14ac:dyDescent="0.25">
      <c r="B20" s="70"/>
      <c r="C20" s="72" t="s">
        <v>183</v>
      </c>
    </row>
    <row r="21" spans="1:3" x14ac:dyDescent="0.25">
      <c r="B21" s="70"/>
      <c r="C21" s="72" t="s">
        <v>174</v>
      </c>
    </row>
    <row r="22" spans="1:3" x14ac:dyDescent="0.25">
      <c r="B22" s="70"/>
      <c r="C22" s="72" t="s">
        <v>191</v>
      </c>
    </row>
    <row r="23" spans="1:3" x14ac:dyDescent="0.25">
      <c r="C23" s="72" t="s">
        <v>190</v>
      </c>
    </row>
    <row r="24" spans="1:3" x14ac:dyDescent="0.25">
      <c r="C24" s="72" t="s">
        <v>198</v>
      </c>
    </row>
    <row r="25" spans="1:3" x14ac:dyDescent="0.25">
      <c r="C25" s="14" t="s">
        <v>195</v>
      </c>
    </row>
    <row r="26" spans="1:3" x14ac:dyDescent="0.25">
      <c r="C26" s="72" t="s">
        <v>197</v>
      </c>
    </row>
    <row r="27" spans="1:3" x14ac:dyDescent="0.25">
      <c r="C27" s="72" t="s">
        <v>200</v>
      </c>
    </row>
    <row r="28" spans="1:3" x14ac:dyDescent="0.25">
      <c r="C28" s="72" t="s">
        <v>203</v>
      </c>
    </row>
    <row r="29" spans="1:3" s="75" customFormat="1" x14ac:dyDescent="0.25">
      <c r="A29" s="90"/>
      <c r="B29" s="73"/>
      <c r="C29" s="74" t="s">
        <v>202</v>
      </c>
    </row>
    <row r="30" spans="1:3" x14ac:dyDescent="0.25">
      <c r="A30" s="87" t="s">
        <v>204</v>
      </c>
      <c r="B30" s="70">
        <v>44299</v>
      </c>
      <c r="C30" s="72" t="s">
        <v>205</v>
      </c>
    </row>
    <row r="31" spans="1:3" s="75" customFormat="1" x14ac:dyDescent="0.25">
      <c r="A31" s="90"/>
      <c r="B31" s="73"/>
      <c r="C31" s="74" t="s">
        <v>206</v>
      </c>
    </row>
    <row r="32" spans="1:3" s="78" customFormat="1" x14ac:dyDescent="0.25">
      <c r="A32" s="91" t="s">
        <v>215</v>
      </c>
      <c r="B32" s="93">
        <v>44300</v>
      </c>
      <c r="C32" s="77" t="s">
        <v>216</v>
      </c>
    </row>
    <row r="33" spans="1:3" x14ac:dyDescent="0.25">
      <c r="A33" s="92" t="s">
        <v>217</v>
      </c>
      <c r="B33" s="70">
        <v>44326</v>
      </c>
      <c r="C33" s="72" t="s">
        <v>218</v>
      </c>
    </row>
    <row r="34" spans="1:3" x14ac:dyDescent="0.25">
      <c r="C34" s="72" t="s">
        <v>219</v>
      </c>
    </row>
    <row r="35" spans="1:3" x14ac:dyDescent="0.25">
      <c r="C35" s="72" t="s">
        <v>222</v>
      </c>
    </row>
    <row r="36" spans="1:3" x14ac:dyDescent="0.25">
      <c r="C36" s="72" t="s">
        <v>240</v>
      </c>
    </row>
    <row r="37" spans="1:3" x14ac:dyDescent="0.25">
      <c r="C37" s="72" t="s">
        <v>223</v>
      </c>
    </row>
    <row r="38" spans="1:3" x14ac:dyDescent="0.25">
      <c r="C38" s="72" t="s">
        <v>241</v>
      </c>
    </row>
    <row r="39" spans="1:3" x14ac:dyDescent="0.25">
      <c r="C39" s="72" t="s">
        <v>224</v>
      </c>
    </row>
    <row r="40" spans="1:3" x14ac:dyDescent="0.25">
      <c r="C40" s="72" t="s">
        <v>226</v>
      </c>
    </row>
    <row r="41" spans="1:3" x14ac:dyDescent="0.25">
      <c r="C41" s="72" t="s">
        <v>229</v>
      </c>
    </row>
    <row r="42" spans="1:3" x14ac:dyDescent="0.25">
      <c r="C42" s="72" t="s">
        <v>234</v>
      </c>
    </row>
    <row r="43" spans="1:3" x14ac:dyDescent="0.25">
      <c r="C43" s="72" t="s">
        <v>235</v>
      </c>
    </row>
    <row r="44" spans="1:3" x14ac:dyDescent="0.25">
      <c r="C44" s="72" t="s">
        <v>236</v>
      </c>
    </row>
    <row r="45" spans="1:3" x14ac:dyDescent="0.25">
      <c r="C45" s="72" t="s">
        <v>237</v>
      </c>
    </row>
    <row r="46" spans="1:3" x14ac:dyDescent="0.25">
      <c r="C46" s="72" t="s">
        <v>238</v>
      </c>
    </row>
    <row r="47" spans="1:3" x14ac:dyDescent="0.25">
      <c r="C47" s="72" t="s">
        <v>239</v>
      </c>
    </row>
    <row r="48" spans="1:3" s="81" customFormat="1" x14ac:dyDescent="0.25">
      <c r="A48" s="92" t="s">
        <v>242</v>
      </c>
      <c r="B48" s="103">
        <v>44369</v>
      </c>
      <c r="C48" s="80" t="s">
        <v>247</v>
      </c>
    </row>
    <row r="49" spans="1:3" x14ac:dyDescent="0.25">
      <c r="C49" s="135" t="s">
        <v>243</v>
      </c>
    </row>
    <row r="50" spans="1:3" s="75" customFormat="1" x14ac:dyDescent="0.25">
      <c r="A50" s="90"/>
      <c r="B50" s="73"/>
      <c r="C50" s="74" t="s">
        <v>245</v>
      </c>
    </row>
    <row r="51" spans="1:3" x14ac:dyDescent="0.25">
      <c r="A51" s="87" t="s">
        <v>248</v>
      </c>
      <c r="B51" s="106">
        <v>44432</v>
      </c>
      <c r="C51" s="72" t="s">
        <v>249</v>
      </c>
    </row>
    <row r="52" spans="1:3" x14ac:dyDescent="0.25">
      <c r="C52" s="72" t="s">
        <v>250</v>
      </c>
    </row>
    <row r="53" spans="1:3" x14ac:dyDescent="0.25">
      <c r="C53" s="72" t="s">
        <v>256</v>
      </c>
    </row>
    <row r="54" spans="1:3" x14ac:dyDescent="0.25">
      <c r="C54" s="72" t="s">
        <v>253</v>
      </c>
    </row>
    <row r="55" spans="1:3" s="75" customFormat="1" x14ac:dyDescent="0.25">
      <c r="A55" s="90"/>
      <c r="B55" s="73"/>
      <c r="C55" s="74" t="s">
        <v>258</v>
      </c>
    </row>
    <row r="56" spans="1:3" x14ac:dyDescent="0.25">
      <c r="A56" s="87" t="s">
        <v>274</v>
      </c>
      <c r="B56" s="106">
        <v>44565</v>
      </c>
      <c r="C56" s="72" t="s">
        <v>279</v>
      </c>
    </row>
    <row r="57" spans="1:3" x14ac:dyDescent="0.25">
      <c r="C57" s="72" t="s">
        <v>260</v>
      </c>
    </row>
    <row r="58" spans="1:3" x14ac:dyDescent="0.25">
      <c r="C58" s="72" t="s">
        <v>261</v>
      </c>
    </row>
    <row r="59" spans="1:3" x14ac:dyDescent="0.25">
      <c r="C59" s="72" t="s">
        <v>259</v>
      </c>
    </row>
    <row r="60" spans="1:3" x14ac:dyDescent="0.25">
      <c r="C60" s="72" t="s">
        <v>265</v>
      </c>
    </row>
    <row r="61" spans="1:3" x14ac:dyDescent="0.25">
      <c r="C61" s="72" t="s">
        <v>268</v>
      </c>
    </row>
    <row r="62" spans="1:3" x14ac:dyDescent="0.25">
      <c r="C62" s="72" t="s">
        <v>273</v>
      </c>
    </row>
    <row r="63" spans="1:3" s="75" customFormat="1" x14ac:dyDescent="0.25">
      <c r="A63" s="90"/>
      <c r="B63" s="73"/>
      <c r="C63" s="74" t="s">
        <v>275</v>
      </c>
    </row>
    <row r="64" spans="1:3" x14ac:dyDescent="0.25">
      <c r="A64" s="87" t="s">
        <v>276</v>
      </c>
      <c r="B64" s="106">
        <v>44592</v>
      </c>
      <c r="C64" s="72" t="s">
        <v>277</v>
      </c>
    </row>
    <row r="65" spans="1:3" x14ac:dyDescent="0.25">
      <c r="C65" s="72" t="s">
        <v>280</v>
      </c>
    </row>
    <row r="66" spans="1:3" x14ac:dyDescent="0.25">
      <c r="C66" s="72" t="s">
        <v>278</v>
      </c>
    </row>
    <row r="67" spans="1:3" x14ac:dyDescent="0.25">
      <c r="C67" s="72" t="s">
        <v>281</v>
      </c>
    </row>
    <row r="68" spans="1:3" x14ac:dyDescent="0.25">
      <c r="C68" s="72" t="s">
        <v>282</v>
      </c>
    </row>
    <row r="69" spans="1:3" x14ac:dyDescent="0.25">
      <c r="C69" s="72" t="s">
        <v>291</v>
      </c>
    </row>
    <row r="70" spans="1:3" x14ac:dyDescent="0.25">
      <c r="C70" s="72" t="s">
        <v>283</v>
      </c>
    </row>
    <row r="71" spans="1:3" x14ac:dyDescent="0.25">
      <c r="C71" s="72" t="s">
        <v>284</v>
      </c>
    </row>
    <row r="72" spans="1:3" x14ac:dyDescent="0.25">
      <c r="C72" s="72" t="s">
        <v>285</v>
      </c>
    </row>
    <row r="73" spans="1:3" x14ac:dyDescent="0.25">
      <c r="C73" s="72" t="s">
        <v>290</v>
      </c>
    </row>
    <row r="74" spans="1:3" s="75" customFormat="1" x14ac:dyDescent="0.25">
      <c r="A74" s="90"/>
      <c r="B74" s="73"/>
      <c r="C74" s="74" t="s">
        <v>289</v>
      </c>
    </row>
    <row r="75" spans="1:3" x14ac:dyDescent="0.25">
      <c r="A75" s="87" t="s">
        <v>292</v>
      </c>
      <c r="B75" s="106">
        <v>44644</v>
      </c>
      <c r="C75" s="72" t="s">
        <v>293</v>
      </c>
    </row>
    <row r="76" spans="1:3" x14ac:dyDescent="0.25">
      <c r="C76" s="72" t="s">
        <v>298</v>
      </c>
    </row>
    <row r="77" spans="1:3" x14ac:dyDescent="0.25">
      <c r="C77" s="72" t="s">
        <v>299</v>
      </c>
    </row>
    <row r="78" spans="1:3" x14ac:dyDescent="0.25">
      <c r="C78" s="72" t="s">
        <v>301</v>
      </c>
    </row>
    <row r="79" spans="1:3" x14ac:dyDescent="0.25">
      <c r="C79" s="72" t="s">
        <v>300</v>
      </c>
    </row>
    <row r="80" spans="1:3" x14ac:dyDescent="0.25">
      <c r="C80" s="72" t="s">
        <v>302</v>
      </c>
    </row>
    <row r="81" spans="1:3" x14ac:dyDescent="0.25">
      <c r="C81" s="72" t="s">
        <v>303</v>
      </c>
    </row>
    <row r="82" spans="1:3" s="75" customFormat="1" x14ac:dyDescent="0.25">
      <c r="A82" s="90"/>
      <c r="B82" s="73"/>
      <c r="C82" s="74" t="s">
        <v>304</v>
      </c>
    </row>
    <row r="83" spans="1:3" x14ac:dyDescent="0.25">
      <c r="A83" s="87" t="s">
        <v>305</v>
      </c>
      <c r="B83" s="70">
        <v>44700</v>
      </c>
      <c r="C83" s="109" t="s">
        <v>373</v>
      </c>
    </row>
    <row r="84" spans="1:3" x14ac:dyDescent="0.25">
      <c r="C84" s="72" t="s">
        <v>311</v>
      </c>
    </row>
    <row r="85" spans="1:3" x14ac:dyDescent="0.25">
      <c r="C85" s="72" t="s">
        <v>341</v>
      </c>
    </row>
    <row r="86" spans="1:3" x14ac:dyDescent="0.25">
      <c r="C86" s="72" t="s">
        <v>340</v>
      </c>
    </row>
    <row r="87" spans="1:3" x14ac:dyDescent="0.25">
      <c r="C87" s="72" t="s">
        <v>343</v>
      </c>
    </row>
    <row r="88" spans="1:3" x14ac:dyDescent="0.25">
      <c r="C88" s="72" t="s">
        <v>342</v>
      </c>
    </row>
    <row r="89" spans="1:3" x14ac:dyDescent="0.25">
      <c r="C89" s="72" t="s">
        <v>331</v>
      </c>
    </row>
    <row r="90" spans="1:3" x14ac:dyDescent="0.25">
      <c r="C90" s="72" t="s">
        <v>338</v>
      </c>
    </row>
    <row r="91" spans="1:3" x14ac:dyDescent="0.25">
      <c r="C91" s="72" t="s">
        <v>339</v>
      </c>
    </row>
    <row r="92" spans="1:3" x14ac:dyDescent="0.25">
      <c r="C92" s="72" t="s">
        <v>346</v>
      </c>
    </row>
    <row r="93" spans="1:3" x14ac:dyDescent="0.25">
      <c r="C93" s="72" t="s">
        <v>352</v>
      </c>
    </row>
    <row r="94" spans="1:3" x14ac:dyDescent="0.25">
      <c r="C94" s="72" t="s">
        <v>353</v>
      </c>
    </row>
    <row r="95" spans="1:3" x14ac:dyDescent="0.25">
      <c r="C95" s="72" t="s">
        <v>360</v>
      </c>
    </row>
    <row r="96" spans="1:3" x14ac:dyDescent="0.25">
      <c r="C96" s="72" t="s">
        <v>361</v>
      </c>
    </row>
    <row r="97" spans="1:3" s="75" customFormat="1" x14ac:dyDescent="0.25">
      <c r="A97" s="90"/>
      <c r="B97" s="73"/>
      <c r="C97" s="74" t="s">
        <v>366</v>
      </c>
    </row>
    <row r="98" spans="1:3" x14ac:dyDescent="0.25">
      <c r="A98" s="87" t="s">
        <v>376</v>
      </c>
      <c r="B98" s="70">
        <v>44705</v>
      </c>
      <c r="C98" s="72" t="s">
        <v>372</v>
      </c>
    </row>
    <row r="99" spans="1:3" x14ac:dyDescent="0.25">
      <c r="C99" s="72" t="s">
        <v>374</v>
      </c>
    </row>
    <row r="100" spans="1:3" s="75" customFormat="1" x14ac:dyDescent="0.25">
      <c r="A100" s="90"/>
      <c r="B100" s="73"/>
      <c r="C100" s="74" t="s">
        <v>375</v>
      </c>
    </row>
    <row r="101" spans="1:3" s="78" customFormat="1" x14ac:dyDescent="0.25">
      <c r="A101" s="91" t="s">
        <v>379</v>
      </c>
      <c r="B101" s="93">
        <v>44782</v>
      </c>
      <c r="C101" s="77" t="s">
        <v>380</v>
      </c>
    </row>
    <row r="102" spans="1:3" x14ac:dyDescent="0.25">
      <c r="A102" s="87" t="s">
        <v>382</v>
      </c>
      <c r="B102" s="70">
        <v>44872</v>
      </c>
      <c r="C102" s="72" t="s">
        <v>381</v>
      </c>
    </row>
    <row r="103" spans="1:3" x14ac:dyDescent="0.25">
      <c r="C103" s="72" t="s">
        <v>416</v>
      </c>
    </row>
    <row r="104" spans="1:3" x14ac:dyDescent="0.25">
      <c r="C104" s="72" t="s">
        <v>412</v>
      </c>
    </row>
    <row r="105" spans="1:3" x14ac:dyDescent="0.25">
      <c r="C105" s="72" t="s">
        <v>383</v>
      </c>
    </row>
    <row r="106" spans="1:3" x14ac:dyDescent="0.25">
      <c r="C106" s="72" t="s">
        <v>384</v>
      </c>
    </row>
    <row r="107" spans="1:3" x14ac:dyDescent="0.25">
      <c r="C107" s="72" t="s">
        <v>390</v>
      </c>
    </row>
    <row r="108" spans="1:3" x14ac:dyDescent="0.25">
      <c r="C108" s="72" t="s">
        <v>392</v>
      </c>
    </row>
    <row r="109" spans="1:3" x14ac:dyDescent="0.25">
      <c r="C109" s="72" t="s">
        <v>393</v>
      </c>
    </row>
    <row r="110" spans="1:3" x14ac:dyDescent="0.25">
      <c r="C110" s="72" t="s">
        <v>394</v>
      </c>
    </row>
    <row r="111" spans="1:3" x14ac:dyDescent="0.25">
      <c r="C111" s="72" t="s">
        <v>396</v>
      </c>
    </row>
    <row r="112" spans="1:3" x14ac:dyDescent="0.25">
      <c r="C112" s="72" t="s">
        <v>395</v>
      </c>
    </row>
    <row r="113" spans="3:3" x14ac:dyDescent="0.25">
      <c r="C113" s="72" t="s">
        <v>423</v>
      </c>
    </row>
    <row r="114" spans="3:3" x14ac:dyDescent="0.25">
      <c r="C114" s="72" t="s">
        <v>391</v>
      </c>
    </row>
    <row r="115" spans="3:3" x14ac:dyDescent="0.25">
      <c r="C115" s="72" t="s">
        <v>389</v>
      </c>
    </row>
    <row r="116" spans="3:3" x14ac:dyDescent="0.25">
      <c r="C116" s="72" t="s">
        <v>386</v>
      </c>
    </row>
    <row r="117" spans="3:3" x14ac:dyDescent="0.25">
      <c r="C117" s="72" t="s">
        <v>388</v>
      </c>
    </row>
    <row r="118" spans="3:3" x14ac:dyDescent="0.25">
      <c r="C118" s="72" t="s">
        <v>410</v>
      </c>
    </row>
    <row r="119" spans="3:3" x14ac:dyDescent="0.25">
      <c r="C119" s="72" t="s">
        <v>435</v>
      </c>
    </row>
    <row r="120" spans="3:3" x14ac:dyDescent="0.25">
      <c r="C120" s="72" t="s">
        <v>426</v>
      </c>
    </row>
    <row r="121" spans="3:3" x14ac:dyDescent="0.25">
      <c r="C121" s="72" t="s">
        <v>431</v>
      </c>
    </row>
    <row r="122" spans="3:3" x14ac:dyDescent="0.25">
      <c r="C122" s="72" t="s">
        <v>430</v>
      </c>
    </row>
    <row r="123" spans="3:3" x14ac:dyDescent="0.25">
      <c r="C123" s="72" t="s">
        <v>432</v>
      </c>
    </row>
    <row r="124" spans="3:3" x14ac:dyDescent="0.25">
      <c r="C124" s="72" t="s">
        <v>433</v>
      </c>
    </row>
    <row r="125" spans="3:3" x14ac:dyDescent="0.25">
      <c r="C125" s="72" t="s">
        <v>436</v>
      </c>
    </row>
    <row r="126" spans="3:3" x14ac:dyDescent="0.25">
      <c r="C126" s="72" t="s">
        <v>438</v>
      </c>
    </row>
    <row r="127" spans="3:3" x14ac:dyDescent="0.25">
      <c r="C127" s="72" t="s">
        <v>440</v>
      </c>
    </row>
    <row r="128" spans="3:3" x14ac:dyDescent="0.25">
      <c r="C128" s="72" t="s">
        <v>441</v>
      </c>
    </row>
    <row r="129" spans="1:3" x14ac:dyDescent="0.25">
      <c r="C129" s="72" t="s">
        <v>443</v>
      </c>
    </row>
    <row r="130" spans="1:3" x14ac:dyDescent="0.25">
      <c r="C130" s="72" t="s">
        <v>445</v>
      </c>
    </row>
    <row r="131" spans="1:3" x14ac:dyDescent="0.25">
      <c r="C131" s="72" t="s">
        <v>447</v>
      </c>
    </row>
    <row r="132" spans="1:3" x14ac:dyDescent="0.25">
      <c r="C132" s="72" t="s">
        <v>448</v>
      </c>
    </row>
    <row r="133" spans="1:3" x14ac:dyDescent="0.25">
      <c r="C133" s="72" t="s">
        <v>451</v>
      </c>
    </row>
    <row r="134" spans="1:3" x14ac:dyDescent="0.25">
      <c r="C134" s="72" t="s">
        <v>458</v>
      </c>
    </row>
    <row r="135" spans="1:3" x14ac:dyDescent="0.25">
      <c r="C135" s="72" t="s">
        <v>461</v>
      </c>
    </row>
    <row r="136" spans="1:3" s="75" customFormat="1" x14ac:dyDescent="0.25">
      <c r="A136" s="90"/>
      <c r="B136" s="73"/>
      <c r="C136" s="74" t="s">
        <v>463</v>
      </c>
    </row>
    <row r="137" spans="1:3" x14ac:dyDescent="0.25">
      <c r="A137" s="87" t="s">
        <v>469</v>
      </c>
      <c r="B137" s="70">
        <v>44887</v>
      </c>
      <c r="C137" s="72" t="s">
        <v>472</v>
      </c>
    </row>
    <row r="138" spans="1:3" x14ac:dyDescent="0.25">
      <c r="C138" s="72" t="s">
        <v>473</v>
      </c>
    </row>
    <row r="139" spans="1:3" x14ac:dyDescent="0.25">
      <c r="C139" s="72" t="s">
        <v>470</v>
      </c>
    </row>
    <row r="140" spans="1:3" s="75" customFormat="1" x14ac:dyDescent="0.25">
      <c r="A140" s="90"/>
      <c r="B140" s="73"/>
      <c r="C140" s="74" t="s">
        <v>471</v>
      </c>
    </row>
    <row r="141" spans="1:3" x14ac:dyDescent="0.25">
      <c r="A141" s="87" t="s">
        <v>478</v>
      </c>
      <c r="B141" s="70">
        <v>45012</v>
      </c>
      <c r="C141" s="72" t="s">
        <v>479</v>
      </c>
    </row>
    <row r="142" spans="1:3" x14ac:dyDescent="0.25">
      <c r="C142" s="72" t="s">
        <v>485</v>
      </c>
    </row>
    <row r="143" spans="1:3" x14ac:dyDescent="0.25">
      <c r="C143" s="72" t="s">
        <v>480</v>
      </c>
    </row>
    <row r="144" spans="1:3" x14ac:dyDescent="0.25">
      <c r="C144" s="72" t="s">
        <v>486</v>
      </c>
    </row>
    <row r="145" spans="1:3" x14ac:dyDescent="0.25">
      <c r="C145" s="72" t="s">
        <v>492</v>
      </c>
    </row>
    <row r="146" spans="1:3" x14ac:dyDescent="0.25">
      <c r="C146" s="72" t="s">
        <v>493</v>
      </c>
    </row>
    <row r="147" spans="1:3" s="75" customFormat="1" x14ac:dyDescent="0.25">
      <c r="A147" s="90"/>
      <c r="B147" s="73"/>
      <c r="C147" s="74" t="s">
        <v>494</v>
      </c>
    </row>
    <row r="148" spans="1:3" x14ac:dyDescent="0.25">
      <c r="A148" s="87" t="s">
        <v>517</v>
      </c>
      <c r="B148" s="70">
        <v>45125</v>
      </c>
      <c r="C148" s="72" t="s">
        <v>496</v>
      </c>
    </row>
    <row r="149" spans="1:3" x14ac:dyDescent="0.25">
      <c r="C149" s="72" t="s">
        <v>506</v>
      </c>
    </row>
    <row r="150" spans="1:3" x14ac:dyDescent="0.25">
      <c r="C150" s="72" t="s">
        <v>511</v>
      </c>
    </row>
    <row r="151" spans="1:3" x14ac:dyDescent="0.25">
      <c r="C151" s="72" t="s">
        <v>512</v>
      </c>
    </row>
    <row r="152" spans="1:3" x14ac:dyDescent="0.25">
      <c r="C152" s="72" t="s">
        <v>497</v>
      </c>
    </row>
    <row r="153" spans="1:3" x14ac:dyDescent="0.25">
      <c r="C153" s="72" t="s">
        <v>498</v>
      </c>
    </row>
    <row r="154" spans="1:3" x14ac:dyDescent="0.25">
      <c r="C154" s="72" t="s">
        <v>499</v>
      </c>
    </row>
    <row r="155" spans="1:3" x14ac:dyDescent="0.25">
      <c r="C155" s="72" t="s">
        <v>522</v>
      </c>
    </row>
    <row r="156" spans="1:3" x14ac:dyDescent="0.25">
      <c r="C156" s="72" t="s">
        <v>523</v>
      </c>
    </row>
    <row r="157" spans="1:3" x14ac:dyDescent="0.25">
      <c r="C157" s="72" t="s">
        <v>500</v>
      </c>
    </row>
    <row r="158" spans="1:3" x14ac:dyDescent="0.25">
      <c r="C158" s="72" t="s">
        <v>520</v>
      </c>
    </row>
    <row r="159" spans="1:3" x14ac:dyDescent="0.25">
      <c r="C159" s="72" t="s">
        <v>501</v>
      </c>
    </row>
    <row r="160" spans="1:3" x14ac:dyDescent="0.25">
      <c r="C160" s="72" t="s">
        <v>502</v>
      </c>
    </row>
    <row r="161" spans="1:3" x14ac:dyDescent="0.25">
      <c r="C161" s="72" t="s">
        <v>503</v>
      </c>
    </row>
    <row r="162" spans="1:3" x14ac:dyDescent="0.25">
      <c r="C162" s="72" t="s">
        <v>540</v>
      </c>
    </row>
    <row r="163" spans="1:3" x14ac:dyDescent="0.25">
      <c r="C163" s="72" t="s">
        <v>541</v>
      </c>
    </row>
    <row r="164" spans="1:3" x14ac:dyDescent="0.25">
      <c r="C164" s="72" t="s">
        <v>545</v>
      </c>
    </row>
    <row r="165" spans="1:3" s="75" customFormat="1" x14ac:dyDescent="0.25">
      <c r="A165" s="90"/>
      <c r="B165" s="73"/>
      <c r="C165" s="74" t="s">
        <v>543</v>
      </c>
    </row>
    <row r="166" spans="1:3" x14ac:dyDescent="0.25">
      <c r="A166" s="87" t="s">
        <v>550</v>
      </c>
      <c r="B166" s="70">
        <v>45133</v>
      </c>
      <c r="C166" s="72" t="s">
        <v>547</v>
      </c>
    </row>
    <row r="167" spans="1:3" x14ac:dyDescent="0.25">
      <c r="C167" s="72" t="s">
        <v>548</v>
      </c>
    </row>
    <row r="168" spans="1:3" x14ac:dyDescent="0.25">
      <c r="C168" s="72" t="s">
        <v>549</v>
      </c>
    </row>
    <row r="169" spans="1:3" s="75" customFormat="1" x14ac:dyDescent="0.25">
      <c r="A169" s="90"/>
      <c r="B169" s="73"/>
      <c r="C169" s="74" t="s">
        <v>553</v>
      </c>
    </row>
    <row r="170" spans="1:3" s="81" customFormat="1" x14ac:dyDescent="0.25">
      <c r="A170" s="92" t="s">
        <v>566</v>
      </c>
      <c r="B170" s="103">
        <v>45139</v>
      </c>
      <c r="C170" s="80" t="s">
        <v>200</v>
      </c>
    </row>
    <row r="171" spans="1:3" s="75" customFormat="1" x14ac:dyDescent="0.25">
      <c r="A171" s="137"/>
      <c r="B171" s="73"/>
      <c r="C171" s="74" t="s">
        <v>567</v>
      </c>
    </row>
  </sheetData>
  <sheetProtection algorithmName="SHA-512" hashValue="HELf9XiP5B65WQqR6Y60eITblV8IdOxnrF/+CClKaEicvkxO5L8FFurDRFXXIpsrcwuRRVmQMA76nUOmtfjuLw==" saltValue="uoOVNKTB5DDhuwfzdYA8AA==" spinCount="100000" sheet="1" selectLockedCells="1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DIMENSIONAMENTO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Alumifix Solar</cp:lastModifiedBy>
  <cp:lastPrinted>2023-07-31T17:36:31Z</cp:lastPrinted>
  <dcterms:created xsi:type="dcterms:W3CDTF">2020-07-06T13:14:22Z</dcterms:created>
  <dcterms:modified xsi:type="dcterms:W3CDTF">2023-07-31T17:42:56Z</dcterms:modified>
</cp:coreProperties>
</file>