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0d7eb79df6edb2/Documentos/ALUMIFIX/FERRAMENTAS/DIMENSIONAMENTO INVERSOR/"/>
    </mc:Choice>
  </mc:AlternateContent>
  <xr:revisionPtr revIDLastSave="1" documentId="13_ncr:1_{1E5A435D-86BA-4442-8E86-B9A9E60F67F0}" xr6:coauthVersionLast="47" xr6:coauthVersionMax="47" xr10:uidLastSave="{D0B1302B-7B50-495E-8DF6-9B326881F1AA}"/>
  <bookViews>
    <workbookView xWindow="-120" yWindow="-120" windowWidth="29040" windowHeight="15840" xr2:uid="{E27F634C-EE06-4185-824A-EC244D3AA624}"/>
  </bookViews>
  <sheets>
    <sheet name="DIMENSIONAMENTO" sheetId="1" r:id="rId1"/>
    <sheet name="INVERSORES" sheetId="2" state="veryHidden" r:id="rId2"/>
    <sheet name="MÓDULOS" sheetId="3" state="veryHidden" r:id="rId3"/>
    <sheet name="Modificações!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21" i="1"/>
  <c r="H14" i="3"/>
  <c r="H12" i="3"/>
  <c r="M37" i="3"/>
  <c r="M35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M19" i="3"/>
  <c r="W13" i="1" l="1"/>
  <c r="W12" i="1"/>
  <c r="W11" i="1"/>
  <c r="W10" i="1"/>
  <c r="W9" i="1"/>
  <c r="W8" i="1"/>
  <c r="T13" i="1"/>
  <c r="T12" i="1"/>
  <c r="T11" i="1"/>
  <c r="T10" i="1"/>
  <c r="T9" i="1"/>
  <c r="T8" i="1"/>
  <c r="Q13" i="1"/>
  <c r="Q12" i="1"/>
  <c r="Q11" i="1"/>
  <c r="Q10" i="1"/>
  <c r="Q9" i="1"/>
  <c r="Q8" i="1"/>
  <c r="B14" i="1"/>
  <c r="B13" i="1"/>
  <c r="B12" i="1"/>
  <c r="B11" i="1"/>
  <c r="B10" i="1"/>
  <c r="B9" i="1"/>
  <c r="B8" i="1"/>
  <c r="B7" i="1"/>
  <c r="B5" i="1"/>
  <c r="AV6" i="2" l="1"/>
  <c r="AW6" i="2"/>
  <c r="AX6" i="2"/>
  <c r="AY6" i="2"/>
  <c r="BH6" i="2"/>
  <c r="AZ6" i="2"/>
  <c r="BA6" i="2"/>
  <c r="BB6" i="2"/>
  <c r="AU6" i="2"/>
  <c r="L19" i="3"/>
  <c r="L18" i="3"/>
  <c r="M18" i="3"/>
  <c r="C18" i="3"/>
  <c r="D18" i="3"/>
  <c r="E18" i="3"/>
  <c r="F18" i="3"/>
  <c r="G18" i="3"/>
  <c r="H18" i="3"/>
  <c r="I18" i="3"/>
  <c r="J18" i="3"/>
  <c r="K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19" i="3"/>
  <c r="D19" i="3"/>
  <c r="E19" i="3"/>
  <c r="F19" i="3"/>
  <c r="G19" i="3"/>
  <c r="H19" i="3"/>
  <c r="I19" i="3"/>
  <c r="J19" i="3"/>
  <c r="K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20" i="3"/>
  <c r="D20" i="3"/>
  <c r="E20" i="3"/>
  <c r="F20" i="3"/>
  <c r="G20" i="3"/>
  <c r="H20" i="3"/>
  <c r="I20" i="3"/>
  <c r="J20" i="3"/>
  <c r="K20" i="3"/>
  <c r="L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21" i="3"/>
  <c r="D21" i="3"/>
  <c r="E21" i="3"/>
  <c r="F21" i="3"/>
  <c r="G21" i="3"/>
  <c r="H21" i="3"/>
  <c r="I21" i="3"/>
  <c r="J21" i="3"/>
  <c r="K21" i="3"/>
  <c r="L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22" i="3"/>
  <c r="D22" i="3"/>
  <c r="E22" i="3"/>
  <c r="F22" i="3"/>
  <c r="G22" i="3"/>
  <c r="H22" i="3"/>
  <c r="I22" i="3"/>
  <c r="J22" i="3"/>
  <c r="K22" i="3"/>
  <c r="L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B22" i="3"/>
  <c r="B21" i="3"/>
  <c r="B20" i="3"/>
  <c r="B19" i="3"/>
  <c r="B18" i="3"/>
  <c r="B34" i="1"/>
  <c r="B33" i="1"/>
  <c r="B32" i="1"/>
  <c r="B31" i="1"/>
  <c r="B30" i="1"/>
  <c r="B29" i="1"/>
  <c r="B28" i="1"/>
  <c r="B27" i="1"/>
  <c r="B26" i="1" s="1"/>
  <c r="C16" i="3"/>
  <c r="D16" i="3"/>
  <c r="E16" i="3"/>
  <c r="F16" i="3"/>
  <c r="G16" i="3"/>
  <c r="J16" i="3"/>
  <c r="R16" i="3"/>
  <c r="S16" i="3"/>
  <c r="V14" i="1" l="1"/>
  <c r="B17" i="1" s="1"/>
  <c r="I56" i="1"/>
  <c r="I55" i="1"/>
  <c r="C24" i="1" l="1"/>
  <c r="P50" i="1" l="1"/>
  <c r="B87" i="1" l="1"/>
  <c r="P27" i="1" l="1"/>
  <c r="P24" i="1"/>
  <c r="P23" i="1"/>
  <c r="P21" i="1"/>
  <c r="P20" i="1"/>
  <c r="P19" i="1"/>
  <c r="Q23" i="1" l="1"/>
  <c r="B55" i="1"/>
  <c r="B64" i="1" s="1"/>
  <c r="C55" i="1"/>
  <c r="C64" i="1" s="1"/>
  <c r="D55" i="1"/>
  <c r="D64" i="1" s="1"/>
  <c r="E55" i="1"/>
  <c r="E64" i="1" s="1"/>
  <c r="F55" i="1"/>
  <c r="G55" i="1"/>
  <c r="S58" i="1"/>
  <c r="T58" i="1"/>
  <c r="S59" i="1"/>
  <c r="T59" i="1"/>
  <c r="S60" i="1"/>
  <c r="T60" i="1"/>
  <c r="F62" i="1"/>
  <c r="G62" i="1"/>
  <c r="T57" i="1"/>
  <c r="S57" i="1"/>
  <c r="F61" i="1"/>
  <c r="G61" i="1"/>
  <c r="I59" i="1"/>
  <c r="P49" i="1"/>
  <c r="F64" i="1" l="1"/>
  <c r="F63" i="1" s="1"/>
  <c r="G64" i="1"/>
  <c r="G63" i="1" s="1"/>
  <c r="E63" i="1"/>
  <c r="F60" i="1"/>
  <c r="G60" i="1"/>
  <c r="C63" i="1"/>
  <c r="D63" i="1" l="1"/>
  <c r="B63" i="1"/>
  <c r="B82" i="1"/>
  <c r="L59" i="1" s="1"/>
  <c r="S14" i="1"/>
  <c r="B16" i="1" s="1"/>
  <c r="P14" i="1"/>
  <c r="B15" i="1" s="1"/>
  <c r="R49" i="1" l="1"/>
  <c r="B37" i="1" l="1"/>
  <c r="B50" i="1"/>
  <c r="B51" i="1" s="1"/>
  <c r="F65" i="1"/>
  <c r="F66" i="1" s="1"/>
  <c r="G65" i="1"/>
  <c r="G66" i="1" s="1"/>
  <c r="D61" i="1"/>
  <c r="E61" i="1"/>
  <c r="D62" i="1"/>
  <c r="G67" i="1" l="1"/>
  <c r="F67" i="1"/>
  <c r="D67" i="1"/>
  <c r="R50" i="1"/>
  <c r="E65" i="1"/>
  <c r="E66" i="1" s="1"/>
  <c r="D65" i="1"/>
  <c r="D66" i="1" s="1"/>
  <c r="C65" i="1"/>
  <c r="C66" i="1" s="1"/>
  <c r="B65" i="1"/>
  <c r="B66" i="1" s="1"/>
  <c r="E62" i="1"/>
  <c r="C62" i="1"/>
  <c r="B62" i="1"/>
  <c r="C61" i="1"/>
  <c r="B61" i="1"/>
  <c r="R60" i="1"/>
  <c r="Q60" i="1"/>
  <c r="P60" i="1"/>
  <c r="O60" i="1"/>
  <c r="R59" i="1"/>
  <c r="Q59" i="1"/>
  <c r="P59" i="1"/>
  <c r="O59" i="1"/>
  <c r="R58" i="1"/>
  <c r="Q58" i="1"/>
  <c r="P58" i="1"/>
  <c r="O58" i="1"/>
  <c r="R57" i="1"/>
  <c r="Q57" i="1"/>
  <c r="P57" i="1"/>
  <c r="O57" i="1"/>
  <c r="B42" i="1"/>
  <c r="B41" i="1"/>
  <c r="B40" i="1"/>
  <c r="B39" i="1"/>
  <c r="B38" i="1"/>
  <c r="T67" i="1" l="1"/>
  <c r="G73" i="1"/>
  <c r="F73" i="1"/>
  <c r="D73" i="1"/>
  <c r="E73" i="1"/>
  <c r="B73" i="1"/>
  <c r="C73" i="1"/>
  <c r="D68" i="1"/>
  <c r="D70" i="1" s="1"/>
  <c r="G68" i="1"/>
  <c r="G70" i="1" s="1"/>
  <c r="F68" i="1"/>
  <c r="F70" i="1" s="1"/>
  <c r="G75" i="1"/>
  <c r="F75" i="1"/>
  <c r="C67" i="1"/>
  <c r="B67" i="1"/>
  <c r="E67" i="1"/>
  <c r="E68" i="1"/>
  <c r="E70" i="1" s="1"/>
  <c r="B52" i="1"/>
  <c r="B68" i="1"/>
  <c r="B70" i="1" s="1"/>
  <c r="C68" i="1"/>
  <c r="C70" i="1" s="1"/>
  <c r="E60" i="1"/>
  <c r="D60" i="1"/>
  <c r="C60" i="1"/>
  <c r="D75" i="1"/>
  <c r="C75" i="1"/>
  <c r="E75" i="1"/>
  <c r="H53" i="1"/>
  <c r="B75" i="1"/>
  <c r="T65" i="1"/>
  <c r="B60" i="1"/>
  <c r="H61" i="1"/>
  <c r="D71" i="1"/>
  <c r="D72" i="1" s="1"/>
  <c r="F71" i="1"/>
  <c r="F72" i="1" s="1"/>
  <c r="G71" i="1"/>
  <c r="G72" i="1" s="1"/>
  <c r="B48" i="1"/>
  <c r="D69" i="1" s="1"/>
  <c r="B81" i="1"/>
  <c r="B80" i="1"/>
  <c r="C71" i="1"/>
  <c r="C72" i="1" s="1"/>
  <c r="B49" i="1"/>
  <c r="E71" i="1"/>
  <c r="J59" i="1"/>
  <c r="B98" i="1" s="1"/>
  <c r="B71" i="1"/>
  <c r="F74" i="1" l="1"/>
  <c r="G74" i="1"/>
  <c r="G69" i="1"/>
  <c r="F69" i="1"/>
  <c r="D74" i="1"/>
  <c r="E69" i="1"/>
  <c r="B74" i="1"/>
  <c r="E74" i="1"/>
  <c r="B69" i="1"/>
  <c r="C69" i="1"/>
  <c r="C74" i="1"/>
  <c r="E76" i="1"/>
  <c r="F76" i="1"/>
  <c r="C76" i="1"/>
  <c r="D76" i="1"/>
  <c r="G76" i="1"/>
  <c r="B76" i="1"/>
  <c r="B83" i="1"/>
  <c r="H54" i="1"/>
  <c r="T69" i="1"/>
  <c r="B86" i="1" s="1"/>
  <c r="E72" i="1"/>
  <c r="T62" i="1"/>
  <c r="Q71" i="1" s="1"/>
  <c r="R71" i="1" s="1"/>
  <c r="K59" i="1"/>
  <c r="B99" i="1"/>
  <c r="B100" i="1" s="1"/>
  <c r="B43" i="1"/>
  <c r="B44" i="1"/>
  <c r="B72" i="1"/>
  <c r="B78" i="1" l="1"/>
  <c r="K60" i="1"/>
  <c r="M61" i="1"/>
  <c r="C83" i="1"/>
</calcChain>
</file>

<file path=xl/sharedStrings.xml><?xml version="1.0" encoding="utf-8"?>
<sst xmlns="http://schemas.openxmlformats.org/spreadsheetml/2006/main" count="534" uniqueCount="421">
  <si>
    <t>SUN-75K-G</t>
  </si>
  <si>
    <t>Potência máxima CC entrada [kWp]</t>
  </si>
  <si>
    <t>Tensão CC máxima de entrada [V]</t>
  </si>
  <si>
    <t>Tensão mínima CC de entrada [V]</t>
  </si>
  <si>
    <t>Número de MPPTs</t>
  </si>
  <si>
    <t>Potência de saída CA nominal [kW]</t>
  </si>
  <si>
    <t>MÓDULO</t>
  </si>
  <si>
    <t>R$</t>
  </si>
  <si>
    <t>R$/Wp</t>
  </si>
  <si>
    <t>Potência do módulo [Wp]</t>
  </si>
  <si>
    <t>Temperatura mínima local [°C]</t>
  </si>
  <si>
    <t>Temperatura máxima local [°C]</t>
  </si>
  <si>
    <t>Temperatura nominal [°C]</t>
  </si>
  <si>
    <t>Coeficiente de tensão [%/°C]</t>
  </si>
  <si>
    <t>Coeficiente de corrente [%/°C]</t>
  </si>
  <si>
    <t>Coeficiente de potência [%/°C]</t>
  </si>
  <si>
    <t>Tensão no ponto de máxima potência (Vmp) [V]</t>
  </si>
  <si>
    <t>Tensão de circuito aberto (Vca) [V]</t>
  </si>
  <si>
    <t>Corrente no ponto de máxima potência (Imp) [A]</t>
  </si>
  <si>
    <t>Corrente de curto-circuito (Icc) [A]</t>
  </si>
  <si>
    <t>Vmpp corrigida (por Tnom) [V]</t>
  </si>
  <si>
    <t>Impp corrigida (por Tmáx) [A]</t>
  </si>
  <si>
    <t>Isc corrigida (por Tmáx) [A]</t>
  </si>
  <si>
    <t>Potência do módulo na máxima temperatura [W]</t>
  </si>
  <si>
    <t>Tensão máxima da série [V]</t>
  </si>
  <si>
    <t>Tensão do MPPT na máxima potência (em Tmín) [V]</t>
  </si>
  <si>
    <t>String 1</t>
  </si>
  <si>
    <t>String 2</t>
  </si>
  <si>
    <t>TOTAL</t>
  </si>
  <si>
    <t>kWp</t>
  </si>
  <si>
    <t>F.D.</t>
  </si>
  <si>
    <t>String 3</t>
  </si>
  <si>
    <t>String 4</t>
  </si>
  <si>
    <t>Verificação do número de módulos</t>
  </si>
  <si>
    <t>Total de módulos por MPPT</t>
  </si>
  <si>
    <t>Potência por MPPT [kWp]</t>
  </si>
  <si>
    <t>Potência dos módulos na máxima temperatura [kWp]</t>
  </si>
  <si>
    <t>Potência CC do projeto [kWp]</t>
  </si>
  <si>
    <t>Fator de dimensionamento máximo pelo manual</t>
  </si>
  <si>
    <t>Fator de dimensionamento considerado no projeto</t>
  </si>
  <si>
    <t>Geração projetada [kWh/dia]</t>
  </si>
  <si>
    <t>Geração projetada [kWh/mês]</t>
  </si>
  <si>
    <t>Geração projetada [kWh/ano]</t>
  </si>
  <si>
    <t>Solis 1P2K(mini)</t>
  </si>
  <si>
    <t>Solis 1P3K(mini)</t>
  </si>
  <si>
    <t>Solis 1P4K</t>
  </si>
  <si>
    <t>Solis 1P5K</t>
  </si>
  <si>
    <t>Solis 1P7K</t>
  </si>
  <si>
    <t>Solis 1P10K</t>
  </si>
  <si>
    <t>Solis 3P10K-LV</t>
  </si>
  <si>
    <t>Solis 3P10K</t>
  </si>
  <si>
    <t>Solis 3P15K-LV</t>
  </si>
  <si>
    <t>Solis 3P15K</t>
  </si>
  <si>
    <t>Solis 3P20K-LV</t>
  </si>
  <si>
    <t>Solis 3P20K</t>
  </si>
  <si>
    <t>Solis 3P25K-LV</t>
  </si>
  <si>
    <t>Solis 3P25K</t>
  </si>
  <si>
    <t>Solis 3P30K</t>
  </si>
  <si>
    <t>Solis 3P40K</t>
  </si>
  <si>
    <t>Solis 3P50K</t>
  </si>
  <si>
    <t>Solis 3P60K</t>
  </si>
  <si>
    <t>Potência máxima CC entrada (kWp)</t>
  </si>
  <si>
    <t>Tensão máxima CC de entrada (Vcc)</t>
  </si>
  <si>
    <t>Tensão mínima CC de entrada (Vcc)</t>
  </si>
  <si>
    <t>Número de mppt's</t>
  </si>
  <si>
    <t>Potência de saída CA nominal (kW)</t>
  </si>
  <si>
    <t>Ecosolys 1000</t>
  </si>
  <si>
    <t>Ecosolys 2000+</t>
  </si>
  <si>
    <t>Ecosolys 3000</t>
  </si>
  <si>
    <t>Ecosolys 5K</t>
  </si>
  <si>
    <t>Ecosolys 10,1K</t>
  </si>
  <si>
    <t>Ecosolys 12K</t>
  </si>
  <si>
    <t>Ecosolys 15K</t>
  </si>
  <si>
    <t>SUN-33K-G</t>
  </si>
  <si>
    <t>SUN-40K-G</t>
  </si>
  <si>
    <t>MPPT máx</t>
  </si>
  <si>
    <t>INVERSORES</t>
  </si>
  <si>
    <t>Número do MPPT</t>
  </si>
  <si>
    <t>DAH 320Wp</t>
  </si>
  <si>
    <t>DAH 330Wp</t>
  </si>
  <si>
    <t>DAH 400Wp</t>
  </si>
  <si>
    <t>OSDA 340Wp</t>
  </si>
  <si>
    <t>Irradiação [kWh/m².dia]</t>
  </si>
  <si>
    <t>SUN-60K-G</t>
  </si>
  <si>
    <t>Número de strings MPPT1</t>
  </si>
  <si>
    <t>Número de strings MPPT2</t>
  </si>
  <si>
    <t>Número de strings MPPT3</t>
  </si>
  <si>
    <t>Número de strings MPPT4</t>
  </si>
  <si>
    <t>Número de strings MPPT5</t>
  </si>
  <si>
    <t>Número de strings MPPT6</t>
  </si>
  <si>
    <t>Número mínimo de módulos para operação do inversor</t>
  </si>
  <si>
    <t>MPPT min</t>
  </si>
  <si>
    <t>Corrente MPPT1</t>
  </si>
  <si>
    <t>Corrente MPPT2</t>
  </si>
  <si>
    <t>Corrente MPPT3</t>
  </si>
  <si>
    <t>Corrente MPPT4</t>
  </si>
  <si>
    <t>Corrente MPPT5</t>
  </si>
  <si>
    <t>Corrente MPPT6</t>
  </si>
  <si>
    <t>SUN-12K-G03</t>
  </si>
  <si>
    <t>SUN-15K-G03</t>
  </si>
  <si>
    <t>SUN-18K-G03</t>
  </si>
  <si>
    <t>SUN-12K-G02-LV</t>
  </si>
  <si>
    <t>SUN-15K-G02-LV</t>
  </si>
  <si>
    <t>SUN-20K-G02-LV</t>
  </si>
  <si>
    <t>SUN-25K-G02-LV</t>
  </si>
  <si>
    <t>SUN-30K-G02-LV</t>
  </si>
  <si>
    <t>SUN-33K-G02-LV</t>
  </si>
  <si>
    <t>SUN-35K-G02-LV</t>
  </si>
  <si>
    <t>Número máximo de módulos para o inversor (pelo FDI)</t>
  </si>
  <si>
    <t xml:space="preserve">Voc corrigida (por Tmín) [V] </t>
  </si>
  <si>
    <t>SUN-30K-G</t>
  </si>
  <si>
    <t>QTDE MÓD MIN</t>
  </si>
  <si>
    <t>por Voc</t>
  </si>
  <si>
    <t>por Vmp</t>
  </si>
  <si>
    <t>Corrente de entrada CC (cada MPPT) [A]</t>
  </si>
  <si>
    <t xml:space="preserve">strings/mppt1 = </t>
  </si>
  <si>
    <t xml:space="preserve">strings/mppt2 = </t>
  </si>
  <si>
    <t xml:space="preserve">strings/mppt3 = </t>
  </si>
  <si>
    <t xml:space="preserve">strings/mppt4 = </t>
  </si>
  <si>
    <t xml:space="preserve">strings/mppt5 = </t>
  </si>
  <si>
    <t xml:space="preserve">strings/mppt6 = </t>
  </si>
  <si>
    <t>STRINGS</t>
  </si>
  <si>
    <t>CORRENTES</t>
  </si>
  <si>
    <t>corrente/mppt2 =</t>
  </si>
  <si>
    <t>corrente/mppt3 =</t>
  </si>
  <si>
    <t>corrente/mppt4 =</t>
  </si>
  <si>
    <t>corrente/mppt5 =</t>
  </si>
  <si>
    <t>corrente/mppt6 =</t>
  </si>
  <si>
    <t xml:space="preserve">corrente/mppt1 = </t>
  </si>
  <si>
    <t>fórmula:</t>
  </si>
  <si>
    <t>Número de strings máximo (cada MPPT)</t>
  </si>
  <si>
    <t>Tensão mínima de trabalho do MPPT [V]</t>
  </si>
  <si>
    <t>Tensão máxima de trabalho do MPPT [V]</t>
  </si>
  <si>
    <t>start inv</t>
  </si>
  <si>
    <t>mppt min</t>
  </si>
  <si>
    <t>Número máximo de módulos  em série para o inversor</t>
  </si>
  <si>
    <t>Tensão de máxima eficiência [V]</t>
  </si>
  <si>
    <t>Verificação de Strings/MPPT</t>
  </si>
  <si>
    <t>MAPA MPPT E STRING ZEROS E UNS</t>
  </si>
  <si>
    <t>FÓRMULA GRANDE STRING BOX (4x MPPT):</t>
  </si>
  <si>
    <t>ENTRADAS:</t>
  </si>
  <si>
    <t>SAÍDAS:</t>
  </si>
  <si>
    <t>fórmula antiga de string box</t>
  </si>
  <si>
    <t>TENSÃO:</t>
  </si>
  <si>
    <t>2E/2S-1000Vcc</t>
  </si>
  <si>
    <t>4E/2S-1000Vcc</t>
  </si>
  <si>
    <t>3E/3S-600Vcc</t>
  </si>
  <si>
    <t>6E/2S-1000Vcc</t>
  </si>
  <si>
    <t>8E/4S-1000Vcc</t>
  </si>
  <si>
    <t>12E/4S-1000Vcc</t>
  </si>
  <si>
    <t>8E/4S-1000Vcc*</t>
  </si>
  <si>
    <t>Corrente máxima MPPTs [A]</t>
  </si>
  <si>
    <t>Quantidade de módulos [Vmp em Tnom] para eficiência máxima</t>
  </si>
  <si>
    <t>PROJETO</t>
  </si>
  <si>
    <t>GERAÇÃO</t>
  </si>
  <si>
    <t>(apenas sugestão para um padrão de conexão pré-determinado)</t>
  </si>
  <si>
    <t>Performance do sistema [%]</t>
  </si>
  <si>
    <t>string1</t>
  </si>
  <si>
    <t>string2</t>
  </si>
  <si>
    <t>string3</t>
  </si>
  <si>
    <t>string4</t>
  </si>
  <si>
    <t>string5</t>
  </si>
  <si>
    <t>string6</t>
  </si>
  <si>
    <t>total de string =</t>
  </si>
  <si>
    <t>projetando para</t>
  </si>
  <si>
    <t>N/A para as strings por MPPT</t>
  </si>
  <si>
    <t xml:space="preserve">problema são os inversores </t>
  </si>
  <si>
    <t>com 1+2</t>
  </si>
  <si>
    <t>Módulos por string (pelo FDI, usando total de strings)</t>
  </si>
  <si>
    <t>Vmpp corrigida (por Tmax) [V]</t>
  </si>
  <si>
    <t>Tensão Vmp mínima da string [V em Tmax]</t>
  </si>
  <si>
    <t>Tensão Vmp mínima da string [V em Tnom]</t>
  </si>
  <si>
    <t>Aproximação da tensão de máxima eficiência [Tnom, 1 = mais próximo]</t>
  </si>
  <si>
    <t>Tensão Vca da string [V em Tmin]</t>
  </si>
  <si>
    <t>^ Verificações</t>
  </si>
  <si>
    <t>DAH 540Wp</t>
  </si>
  <si>
    <t>SUNOVA 550Wp</t>
  </si>
  <si>
    <t>DAH 440Wp</t>
  </si>
  <si>
    <t>VERSÃO</t>
  </si>
  <si>
    <t>v1</t>
  </si>
  <si>
    <t>v2</t>
  </si>
  <si>
    <t>v3</t>
  </si>
  <si>
    <t>v4</t>
  </si>
  <si>
    <t>v5.1.0</t>
  </si>
  <si>
    <t>lançamento da planilha de dimensionamento de inversores</t>
  </si>
  <si>
    <t>ATUALIZAÇÕES</t>
  </si>
  <si>
    <t>??</t>
  </si>
  <si>
    <t>retomada da v2</t>
  </si>
  <si>
    <t>projeto com mapeamento de MPPTs (MPPTs independentes)</t>
  </si>
  <si>
    <t>inclusão da aba "Modificações!" para acompanhamento do desenvolvimento</t>
  </si>
  <si>
    <t>travamento de células para evitar sobrescrevê-las</t>
  </si>
  <si>
    <t>verificações de conformidade dos MPPTs/strings</t>
  </si>
  <si>
    <t>banco de dados dos inversores destacado (aba "INVERSORES")</t>
  </si>
  <si>
    <t>banco de dados dos inversores selecionável via lista suspensa (puxa os dados dos inversores de "INVERSORES")</t>
  </si>
  <si>
    <t>banco de dados dos módulos destacado e selecionável via lista suspensa (puxa os dados dos módulos de "MÓDULOS")</t>
  </si>
  <si>
    <t>ocultamento de informações irrelevantes dos módulos</t>
  </si>
  <si>
    <t>a partir de agora será usada a nomenclatura "X.Y.Z" ao invés de v1, v2, v3...</t>
  </si>
  <si>
    <t>v5 (v5.0.0)</t>
  </si>
  <si>
    <t>"v5" renomeada como "v5.0.0"</t>
  </si>
  <si>
    <t>inclusão de +2 MPPTs no mapeamento (total de 6)</t>
  </si>
  <si>
    <t>verificação individual de strings por MPPT (cada MPPT tem a sua quantidade correta de strings)</t>
  </si>
  <si>
    <t>inclusão da aproximação da tensão de eficiência máxima baseada na Tnominal</t>
  </si>
  <si>
    <t>inclusão do número de módulos mínimos para a série (ou seja, para start do inversor) baseada na Tmáxima</t>
  </si>
  <si>
    <t>inclusão da string box pré-sugerida</t>
  </si>
  <si>
    <t>inclusão da informação "Módulo e inversor" ao lado do mapa das strings</t>
  </si>
  <si>
    <r>
      <t xml:space="preserve">a partir de agora, arquivamento de </t>
    </r>
    <r>
      <rPr>
        <b/>
        <sz val="11"/>
        <color theme="1"/>
        <rFont val="Calibri"/>
        <family val="2"/>
        <scheme val="minor"/>
      </rPr>
      <t>TODAS</t>
    </r>
    <r>
      <rPr>
        <sz val="11"/>
        <color theme="1"/>
        <rFont val="Calibri"/>
        <family val="2"/>
        <scheme val="minor"/>
      </rPr>
      <t xml:space="preserve"> as versões após lançamento</t>
    </r>
  </si>
  <si>
    <r>
      <t xml:space="preserve">a partir de agora, </t>
    </r>
    <r>
      <rPr>
        <b/>
        <sz val="11"/>
        <color theme="1"/>
        <rFont val="Calibri"/>
        <family val="2"/>
        <scheme val="minor"/>
      </rPr>
      <t>TODAS</t>
    </r>
    <r>
      <rPr>
        <sz val="11"/>
        <color theme="1"/>
        <rFont val="Calibri"/>
        <family val="2"/>
        <scheme val="minor"/>
      </rPr>
      <t xml:space="preserve"> as atualizações aparecerão na nova aba "Modificações!"</t>
    </r>
  </si>
  <si>
    <t>inclusão da data no canto superior esquerdo</t>
  </si>
  <si>
    <t>Tensão de eficiência máxima [V]</t>
  </si>
  <si>
    <r>
      <t xml:space="preserve">String Box </t>
    </r>
    <r>
      <rPr>
        <b/>
        <sz val="11"/>
        <color theme="1"/>
        <rFont val="Calibri"/>
        <family val="2"/>
        <scheme val="minor"/>
      </rPr>
      <t>pré-definida</t>
    </r>
  </si>
  <si>
    <t>substituição do "nome + data" por "versão + data"</t>
  </si>
  <si>
    <t>Preço (R$)</t>
  </si>
  <si>
    <t>ampliação da capacidade do banco de dados dos módulos</t>
  </si>
  <si>
    <t>inclusão de R$/Wp com R$ editável na aba "DIMENSIONAMENTO" para os módulos e na aba "MÓDULOS"</t>
  </si>
  <si>
    <t>1E/1S-1000Vcc</t>
  </si>
  <si>
    <t>string boxes pré-definidas atualizadas</t>
  </si>
  <si>
    <r>
      <rPr>
        <b/>
        <sz val="11"/>
        <color theme="1"/>
        <rFont val="Calibri"/>
        <family val="2"/>
        <scheme val="minor"/>
      </rPr>
      <t>ABANDONADO:</t>
    </r>
    <r>
      <rPr>
        <sz val="11"/>
        <color theme="1"/>
        <rFont val="Calibri"/>
        <family val="2"/>
        <scheme val="minor"/>
      </rPr>
      <t xml:space="preserve"> projeto com tensões separadas de cada string do inversor para permitir variedade</t>
    </r>
  </si>
  <si>
    <t>senha: 2019@</t>
  </si>
  <si>
    <t>adição da célula "seleção neutra"</t>
  </si>
  <si>
    <t>v5.2.0</t>
  </si>
  <si>
    <t>inclusão da corrente de curto-circuito dos inversores (e cálculo correspondente)</t>
  </si>
  <si>
    <t>informação "+MOD" movida da tensão de eficiência máxima para as ^Verificações das Vmp</t>
  </si>
  <si>
    <t>CORRENTES DE CURTO</t>
  </si>
  <si>
    <t>Corrente de curto MPPT1</t>
  </si>
  <si>
    <t>Corrente de curto MPPT2</t>
  </si>
  <si>
    <t>Corrente de curto MPPT3</t>
  </si>
  <si>
    <t>Corrente de curto MPPT4</t>
  </si>
  <si>
    <t>Corrente de curto MPPT5</t>
  </si>
  <si>
    <t>Corrente de curto MPPT6</t>
  </si>
  <si>
    <t>Corrente de curto-circuito CC (cada MPPT) [A]</t>
  </si>
  <si>
    <t>Corrente de curto-circuito máxima MPPTs [A]</t>
  </si>
  <si>
    <t>v5.2.1</t>
  </si>
  <si>
    <t>adicionada informação "N/A" (não se aplica) à "aproximação da máxima eficiência" e às correntes de curto</t>
  </si>
  <si>
    <t>v5.3.0</t>
  </si>
  <si>
    <t>atualizada coluna "versão" em "Modificações!" (desfeita a mesclagem de células, mantida em uma única célula)</t>
  </si>
  <si>
    <t>adicionada uma coluna para inversor editável em "INVERSORES"</t>
  </si>
  <si>
    <t>EDITÁVEL</t>
  </si>
  <si>
    <t>TESTE</t>
  </si>
  <si>
    <t>adicionado módulo OSDA 450Wp</t>
  </si>
  <si>
    <t>adicionada observação sobre inversor editável na aba principal</t>
  </si>
  <si>
    <t>corrigida informação "+MOD" na aba principal (calculava apenas para a string 1, agora calcula para todas)</t>
  </si>
  <si>
    <t>obs.:</t>
  </si>
  <si>
    <t>adicionada observação "preencher as strings em ordem" acima do mapa de strings</t>
  </si>
  <si>
    <t>SUN-10K-G03-LV</t>
  </si>
  <si>
    <t>SUN-10K-G03</t>
  </si>
  <si>
    <t>adicionados inversores trifásicos 10kW-220V e 10kW-380V</t>
  </si>
  <si>
    <t>SUN-5K-G (mono)</t>
  </si>
  <si>
    <t>SUN-8K-G (mono)</t>
  </si>
  <si>
    <t>SUN-10K-G (mono)</t>
  </si>
  <si>
    <t>SUN-3K-G (mono)</t>
  </si>
  <si>
    <t>remoção do R$/Wp (ocultado)</t>
  </si>
  <si>
    <t>inversores Deye monofásicos renomeados com "(mono)"</t>
  </si>
  <si>
    <t>preencher as strings SEMPRE em ordem (1, depois 2, depois 3...)</t>
  </si>
  <si>
    <t>adicionado alerta de F.D. no resumo ao lado do mapa de strings</t>
  </si>
  <si>
    <t>remoção da célula "seleção neutra"</t>
  </si>
  <si>
    <t>F.D. Manual</t>
  </si>
  <si>
    <t>adicionado F.D. do manual para o resumo ao lado do mapa de strings</t>
  </si>
  <si>
    <t>alertas próximos ao mapa de strings reposicionados</t>
  </si>
  <si>
    <t>adicionada uma coluna para módulo editável em "MÓDULOS"</t>
  </si>
  <si>
    <t>adicionada observação sobre módulo editável na aba principal</t>
  </si>
  <si>
    <t>v5.4.0</t>
  </si>
  <si>
    <t>adicionada verificação de potência máxima por MPPT</t>
  </si>
  <si>
    <t>Potência máxima por MPPT [kWp]</t>
  </si>
  <si>
    <t>adicionado módulo OSDA 450Wp (não havia sido adicionado na v5.3.0)</t>
  </si>
  <si>
    <t>OSDA 450Wp</t>
  </si>
  <si>
    <t>adicionada informação de potência máxima por MPPT</t>
  </si>
  <si>
    <t>v5.4.1</t>
  </si>
  <si>
    <t>adicionado módulo DAH 545Wp</t>
  </si>
  <si>
    <t>adicionado módulo OSDA 545Wp</t>
  </si>
  <si>
    <t>Corrente de curto-circuito (Isc) [A]</t>
  </si>
  <si>
    <t>Tensão de circuito aberto (Voc) [V]</t>
  </si>
  <si>
    <t>renomeadas informações dos módulos (Icc para Isc, Vca para Voc)</t>
  </si>
  <si>
    <t>DAH 545Wp</t>
  </si>
  <si>
    <t>OSDA 545Wp</t>
  </si>
  <si>
    <t>alteradas informações dos inversores Deye monofásicos de 3kW, 5kW e 8kW (corrente alterada para 13A e Isc para 19,5A, tensão de partida para 80V, tensão mín do MPPT para 70V, kWp do 8kW para 10,4)</t>
  </si>
  <si>
    <t>DATA</t>
  </si>
  <si>
    <t>inclusão do inversor SUN-75K-G03 (com 6 MPPTs)</t>
  </si>
  <si>
    <t>SUN-75K-G03</t>
  </si>
  <si>
    <t>inclusão do módulo TRINA 540Wp</t>
  </si>
  <si>
    <t>inclusão do módulo DAH 550Wp</t>
  </si>
  <si>
    <t>inclusão do módulo SHINEFAR 550Wp</t>
  </si>
  <si>
    <t>SHINEFAR 550Wp</t>
  </si>
  <si>
    <t>RESUN 550Wp</t>
  </si>
  <si>
    <t>TRINA 540Wp</t>
  </si>
  <si>
    <t>exclusão das colunas A e B e congelamento da nova coluna A da aba "Módulos"</t>
  </si>
  <si>
    <t>Vmp &gt; Voc?</t>
  </si>
  <si>
    <t>Imp &gt; Isc?</t>
  </si>
  <si>
    <t>inclusão das comparações de Vmp e Voc, Imp e Isc, para detectar possíveis erros de preenchimento</t>
  </si>
  <si>
    <t>DAH 550Wp</t>
  </si>
  <si>
    <t>Coef. Tensão negativo?</t>
  </si>
  <si>
    <t>Coef. Corrente positivo?</t>
  </si>
  <si>
    <t>Coef. Potência negativo?</t>
  </si>
  <si>
    <t>inclusão da verificação do sinal dos coeficientes de tensão, potência e corrente, para detectar possíveis erros de preenchimento</t>
  </si>
  <si>
    <t>v5.4.2</t>
  </si>
  <si>
    <t>senha: 542 (novas senhas serão a versão da planilha)</t>
  </si>
  <si>
    <t>v5.4.3</t>
  </si>
  <si>
    <t>correção da data da versão da 5.4.2</t>
  </si>
  <si>
    <t>inclusão do módulo SHINEFAR 450Wp</t>
  </si>
  <si>
    <t>inclusão do módulo RESUN 550Wp</t>
  </si>
  <si>
    <t>correção do texto "inclusão do módulos RESUN 550Wp" para "inclusão do módulo RESUN 550Wp"</t>
  </si>
  <si>
    <t>inclusão do módulo SHINEFAR 465Wp</t>
  </si>
  <si>
    <t>inclusão do módulo OSDA 550Wp</t>
  </si>
  <si>
    <t>remoção do módulo HELIUS 380Wp</t>
  </si>
  <si>
    <t>remoção do módulo DAH 445Wp</t>
  </si>
  <si>
    <t>remoção do módulo OSDA 390Wp</t>
  </si>
  <si>
    <t>SHINEFAR 450Wp</t>
  </si>
  <si>
    <t>SHINEFAR 465Wp</t>
  </si>
  <si>
    <t>OSDA 550Wp</t>
  </si>
  <si>
    <t>alteração dos valores de Isc e Voc do módulo OSDA 545Wp (+3% em cada, pior caso do datasheet)</t>
  </si>
  <si>
    <t>remoção do módulo SUNERGY 440Wp</t>
  </si>
  <si>
    <t>remoção dos módulos LUXEN (todos)</t>
  </si>
  <si>
    <t>v5.4.4</t>
  </si>
  <si>
    <t>adição da linha "Máximo de módulos por MPPT" (A59)</t>
  </si>
  <si>
    <t>Máximo de módulos por MPPT (pela potência kWp)</t>
  </si>
  <si>
    <t>SUN-35K-G04</t>
  </si>
  <si>
    <t>SUN-50K-G-LV</t>
  </si>
  <si>
    <t>SUN-25K-G04</t>
  </si>
  <si>
    <t>atualização dos inversores SUN-3K-G, SUN-5K-G e SUN-8K-G (tensões CC a até 550Vcc)</t>
  </si>
  <si>
    <t>atualização do inversor SUN-12K-G02-LV (potência kWp máxima a até 15,6kWp)</t>
  </si>
  <si>
    <t>atualização do inversor SUN-50K-G02-LV (renomeado para SUN-50K-G-LV, potência kWp máxima a até 65kWp, corrente máxima a até 40A, corrente de curto máxima a até 60A)</t>
  </si>
  <si>
    <t>atualização do inversor SUN-15K-G02-LV (potência kWh máxima a até 19,5kWp)</t>
  </si>
  <si>
    <t>atualização do inversor SUN-25K-G (renomeado para SUN-25K-G04)</t>
  </si>
  <si>
    <t>atualização do inversor SUN-35K-G (renomeado para SUN-35K-G04)</t>
  </si>
  <si>
    <t>invesores híbridos renomeados com HÍBRIDO no final</t>
  </si>
  <si>
    <t>v6.0.0</t>
  </si>
  <si>
    <t>SUN-40K-G-LV</t>
  </si>
  <si>
    <t>SUN-8K-SG01LP1-US</t>
  </si>
  <si>
    <t>SUN-8K-SG01LP1-EU</t>
  </si>
  <si>
    <t>SUN-3.6K-SG03LP1-EU</t>
  </si>
  <si>
    <t>SUN-5K-SG03LP1-EU</t>
  </si>
  <si>
    <t>remoção da observação de inversor editável</t>
  </si>
  <si>
    <t>registro INMETRO do inversor</t>
  </si>
  <si>
    <t>registro INMETRO</t>
  </si>
  <si>
    <t>007492/2019</t>
  </si>
  <si>
    <t>005635/2021</t>
  </si>
  <si>
    <t>001452/2020</t>
  </si>
  <si>
    <t>000300/2020</t>
  </si>
  <si>
    <t>001992/2021</t>
  </si>
  <si>
    <t>006338/2020</t>
  </si>
  <si>
    <t>003228/2021</t>
  </si>
  <si>
    <t>SUN-100K-G03</t>
  </si>
  <si>
    <t>SUN-75K-HD</t>
  </si>
  <si>
    <t>005461/2020</t>
  </si>
  <si>
    <t>SUN-50K-G03</t>
  </si>
  <si>
    <t>arquivo</t>
  </si>
  <si>
    <t>007490/2019</t>
  </si>
  <si>
    <t>002092/2021</t>
  </si>
  <si>
    <t>001194/2021</t>
  </si>
  <si>
    <t>005958/2021</t>
  </si>
  <si>
    <t>005752/2021</t>
  </si>
  <si>
    <t>005693/2021</t>
  </si>
  <si>
    <t>aumento do range do PROCV das informações dos inversores (de 24 a 57)</t>
  </si>
  <si>
    <t>registro INMETRO do módulo</t>
  </si>
  <si>
    <t>modelo</t>
  </si>
  <si>
    <t>ARQUIVO</t>
  </si>
  <si>
    <t>SHINEFAR 665Wp</t>
  </si>
  <si>
    <t>HONOR 550Wp</t>
  </si>
  <si>
    <t>008259/2021</t>
  </si>
  <si>
    <t>005000/2022</t>
  </si>
  <si>
    <t>000453/2021</t>
  </si>
  <si>
    <t>002494/2021</t>
  </si>
  <si>
    <t>008258/2021</t>
  </si>
  <si>
    <t>005692/2021</t>
  </si>
  <si>
    <t>inclusão SHINEFAR 665Wp e HONOR 550Wp</t>
  </si>
  <si>
    <t>criação de arquivo com módulos antigos</t>
  </si>
  <si>
    <t>remoção da possibilidade de módulo editável e remanejamento dos módulos selecionáveis</t>
  </si>
  <si>
    <t>remoção da possibilidade de inversor editável e remanejamento dos inversores selecionáveis</t>
  </si>
  <si>
    <t>inclusão do registro INMETRO do módulo selecionado (na aba módulos e visualmente na aba dimensionamento mendiante PROC)</t>
  </si>
  <si>
    <t>inclusão do registro INMETRO do inversor selecionado (na aba inversores e visualmente na aba dimensionamento mediante PROC)</t>
  </si>
  <si>
    <t>1E/1S-1000V</t>
  </si>
  <si>
    <t>2E/2S-1000V</t>
  </si>
  <si>
    <t>4E/2S-1000V</t>
  </si>
  <si>
    <t>6E/2S-1000V</t>
  </si>
  <si>
    <t>9E/3S-1000V</t>
  </si>
  <si>
    <t>12E/4S-1000V</t>
  </si>
  <si>
    <t>2x 8E/2S-1000V</t>
  </si>
  <si>
    <t>24E/6S-1000V</t>
  </si>
  <si>
    <t>4E/2S-1000V*</t>
  </si>
  <si>
    <t>8E/4S-1000V*</t>
  </si>
  <si>
    <t>12E/4S-1000V*</t>
  </si>
  <si>
    <t>Isc original: 18,58</t>
  </si>
  <si>
    <t>**</t>
  </si>
  <si>
    <t>Isc do SHINEFAR 665 setado em 19,5 para vedar uso com inversores com mppt de 1 string</t>
  </si>
  <si>
    <t>INVERSOR DEYE</t>
  </si>
  <si>
    <t>ATENÇÃO!</t>
  </si>
  <si>
    <t>fonte recomendada de dados de irradiação:</t>
  </si>
  <si>
    <t>http://www.cresesb.cepel.br/index.php?section=sundata&amp;</t>
  </si>
  <si>
    <t>caso haja asterisco: inversor comporta mais strings, porém geralmente não é necessário</t>
  </si>
  <si>
    <t>String Box necessária para inversor nesta configuração</t>
  </si>
  <si>
    <t>criação das observações 1 e 2 abaixo dos resultados do cálculo de inversores</t>
  </si>
  <si>
    <t>criação do quadro de atenção</t>
  </si>
  <si>
    <t>SUN-20K-G04</t>
  </si>
  <si>
    <t>A corrente máxima do conector dos inversores é de 30A. Caso a corrente de saída da string box seja superior</t>
  </si>
  <si>
    <t>a 30A, fazer a divisão da saída da string box em mais vias de cabo e ingressar em mais entradas do inversor.</t>
  </si>
  <si>
    <t>ESTA PLANILHA, BEM COMO OS PARÂMETROS TÉCNICOS DOS INVERSORES, PODE SER ATUALIZADA SEM AVISO A QUALQUER MOMENTO.</t>
  </si>
  <si>
    <t>A ALUMIFIX SOLAR NÃO SE RESPONSABILIZA POR EVENTUAIS DIVERGÊNCIAS DE CÁLCULO OU INFORMAÇÃO CONTIDA NA PLANILHA, SENDO OBRIGATÓRIA A REVISÃO DOS RESULTADOS E INFORMAÇÕES POR PROFISSIONAL QUALIFICADO.</t>
  </si>
  <si>
    <r>
      <t xml:space="preserve">ESTA É UMA PLANILHA DISPONIBILIZADA PELA </t>
    </r>
    <r>
      <rPr>
        <b/>
        <sz val="11"/>
        <color theme="0"/>
        <rFont val="Calibri"/>
        <family val="2"/>
        <scheme val="minor"/>
      </rPr>
      <t>ALUMIFIX SOLAR</t>
    </r>
    <r>
      <rPr>
        <sz val="11"/>
        <color theme="0"/>
        <rFont val="Calibri"/>
        <family val="2"/>
        <scheme val="minor"/>
      </rPr>
      <t xml:space="preserve"> PARA AUXILIAR SEUS INTEGRADORES A DIMENSIONAR INVERSORES DENTRO DE SUAS LIMITAÇÕES TÉCNICAS. </t>
    </r>
    <r>
      <rPr>
        <b/>
        <sz val="11"/>
        <color theme="0"/>
        <rFont val="Calibri"/>
        <family val="2"/>
        <scheme val="minor"/>
      </rPr>
      <t>ESTA PLANILHA NÃO SUBSTITUI A ANÁLISE TÉCNICA DE PROFISSIONAL QUALIFICADO</t>
    </r>
    <r>
      <rPr>
        <sz val="11"/>
        <color theme="0"/>
        <rFont val="Calibri"/>
        <family val="2"/>
        <scheme val="minor"/>
      </rPr>
      <t>, SENDO UMA MERA FERRAMENTA DE AUXÍLIO A TAIS PROFISSIONAIS.</t>
    </r>
  </si>
  <si>
    <t>OS MÓDULOS DE UM MESMO MPPT DEVEM OBRIGATORIAMENTE SER</t>
  </si>
  <si>
    <t>INSTALADOS NAS MESMAS CONDIÇÕES (INCLINAÇÃO, DESVIO AZIMUTAL ETC.)</t>
  </si>
  <si>
    <t>criação do aviso de módulos nas mesmas condições</t>
  </si>
  <si>
    <t>ocultamento da aproximação de tensão máxima</t>
  </si>
  <si>
    <t>ESTA PLANILHA PODE CONTER MÓDULOS E INVERSORES QUE JÁ NÃO ESTÃO MAIS DISPONÍVEIS PARA COMPRA. SEMPRE CONSULTAR O SETOR COMERCIAL PARA QUESTÕES REFERENTES A PRODUTOS DISPONÍVEIS.</t>
  </si>
  <si>
    <t>Eng. João Paulo Jakobi</t>
  </si>
  <si>
    <t>Suporte Técnico Alumifix Solar</t>
  </si>
  <si>
    <t xml:space="preserve"> Tipo de conexão à rede</t>
  </si>
  <si>
    <t>incluído tipo de conexão à rede dos inversores e também o PROC para visualizar na aba DIMENSIONAMENTO</t>
  </si>
  <si>
    <t>tipo de conexão à rede</t>
  </si>
  <si>
    <t>Monofásico 220V</t>
  </si>
  <si>
    <t>Trifásico 380V</t>
  </si>
  <si>
    <t>Trifásico 220V</t>
  </si>
  <si>
    <t>String Box da Alumifix pré-recomendada para este inversor</t>
  </si>
  <si>
    <t>corrigido bug da quantidade de saídas da string box (somava até 4 MPPT, agora soma até 6)</t>
  </si>
  <si>
    <t>(observar a necessidade de fusível)</t>
  </si>
  <si>
    <t>v6.1.0 (USO EXTERNO)</t>
  </si>
  <si>
    <t>em testes para liberar para uso externo</t>
  </si>
  <si>
    <t>corrigido texto "string box da alumifix recomendada..."</t>
  </si>
  <si>
    <t>inserido tensão de conexão dos inversores</t>
  </si>
  <si>
    <t>v6.1.0</t>
  </si>
  <si>
    <t>Obs.1: caso qualquer item conste "ACIMA" ou  "ERRO" ou "+MOD", é vedada a configuração testada</t>
  </si>
  <si>
    <t>ASTRO 555Wp</t>
  </si>
  <si>
    <t>AGUARDANDO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</si>
</sst>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000000"/>
      <name val="Century Gothic"/>
      <family val="2"/>
    </font>
    <font>
      <b/>
      <sz val="11"/>
      <color theme="0"/>
      <name val="Century Gothic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 applyAlignment="1" applyProtection="1">
      <alignment horizontal="left" inden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left" indent="3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 applyProtection="1">
      <alignment horizontal="left" indent="1"/>
    </xf>
    <xf numFmtId="0" fontId="0" fillId="0" borderId="0" xfId="0" applyProtection="1"/>
    <xf numFmtId="0" fontId="5" fillId="0" borderId="1" xfId="0" applyFont="1" applyBorder="1" applyAlignment="1" applyProtection="1">
      <alignment horizontal="right" indent="1"/>
    </xf>
    <xf numFmtId="0" fontId="1" fillId="0" borderId="0" xfId="0" applyFont="1" applyProtection="1"/>
    <xf numFmtId="0" fontId="3" fillId="0" borderId="0" xfId="0" applyFont="1" applyProtection="1"/>
    <xf numFmtId="0" fontId="0" fillId="0" borderId="1" xfId="0" applyBorder="1" applyAlignment="1" applyProtection="1">
      <alignment horizontal="right" indent="1"/>
    </xf>
    <xf numFmtId="0" fontId="0" fillId="0" borderId="0" xfId="0" applyFill="1" applyBorder="1" applyAlignment="1" applyProtection="1">
      <alignment horizontal="left" indent="1"/>
    </xf>
    <xf numFmtId="0" fontId="0" fillId="0" borderId="0" xfId="0" applyFill="1" applyAlignment="1" applyProtection="1">
      <alignment horizontal="left" indent="1"/>
    </xf>
    <xf numFmtId="0" fontId="0" fillId="0" borderId="0" xfId="0" applyAlignment="1" applyProtection="1">
      <alignment horizontal="left"/>
    </xf>
    <xf numFmtId="0" fontId="1" fillId="0" borderId="0" xfId="0" applyFont="1" applyFill="1" applyProtection="1"/>
    <xf numFmtId="0" fontId="0" fillId="0" borderId="0" xfId="0" applyFill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5" xfId="0" applyFill="1" applyBorder="1" applyAlignment="1" applyProtection="1">
      <alignment horizontal="left" indent="1"/>
    </xf>
    <xf numFmtId="0" fontId="0" fillId="0" borderId="0" xfId="0" applyBorder="1" applyProtection="1"/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left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Fill="1" applyBorder="1" applyAlignment="1" applyProtection="1">
      <alignment horizontal="left" indent="1"/>
    </xf>
    <xf numFmtId="0" fontId="0" fillId="0" borderId="0" xfId="0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2" fontId="0" fillId="0" borderId="4" xfId="0" applyNumberFormat="1" applyBorder="1" applyAlignment="1" applyProtection="1">
      <alignment horizontal="left"/>
    </xf>
    <xf numFmtId="0" fontId="2" fillId="0" borderId="1" xfId="0" applyFont="1" applyBorder="1" applyAlignment="1" applyProtection="1">
      <alignment horizontal="right" indent="1"/>
    </xf>
    <xf numFmtId="2" fontId="0" fillId="0" borderId="0" xfId="0" applyNumberFormat="1" applyAlignment="1" applyProtection="1">
      <alignment horizontal="left" indent="1"/>
    </xf>
    <xf numFmtId="0" fontId="0" fillId="0" borderId="2" xfId="0" applyBorder="1" applyAlignment="1" applyProtection="1">
      <alignment horizontal="right" indent="1"/>
    </xf>
    <xf numFmtId="2" fontId="0" fillId="0" borderId="4" xfId="0" applyNumberFormat="1" applyBorder="1" applyAlignment="1" applyProtection="1">
      <alignment horizontal="left" indent="1"/>
    </xf>
    <xf numFmtId="0" fontId="3" fillId="0" borderId="4" xfId="0" applyFont="1" applyBorder="1" applyProtection="1"/>
    <xf numFmtId="2" fontId="0" fillId="0" borderId="0" xfId="0" applyNumberFormat="1" applyBorder="1" applyAlignment="1" applyProtection="1">
      <alignment horizontal="left" indent="1"/>
    </xf>
    <xf numFmtId="0" fontId="3" fillId="0" borderId="0" xfId="0" applyFont="1" applyBorder="1" applyProtection="1"/>
    <xf numFmtId="1" fontId="1" fillId="0" borderId="0" xfId="0" applyNumberFormat="1" applyFont="1" applyBorder="1" applyAlignment="1" applyProtection="1">
      <alignment horizontal="left" indent="1"/>
    </xf>
    <xf numFmtId="0" fontId="1" fillId="0" borderId="0" xfId="0" applyFont="1" applyBorder="1" applyProtection="1"/>
    <xf numFmtId="1" fontId="3" fillId="0" borderId="0" xfId="0" applyNumberFormat="1" applyFont="1" applyAlignment="1" applyProtection="1">
      <alignment horizontal="left" indent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2" fontId="1" fillId="0" borderId="0" xfId="0" applyNumberFormat="1" applyFont="1" applyBorder="1" applyAlignment="1" applyProtection="1">
      <alignment horizontal="left" indent="1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9" fontId="3" fillId="0" borderId="0" xfId="0" applyNumberFormat="1" applyFont="1" applyAlignment="1" applyProtection="1">
      <alignment horizontal="center"/>
    </xf>
    <xf numFmtId="0" fontId="2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9" fontId="0" fillId="0" borderId="0" xfId="0" applyNumberFormat="1" applyAlignment="1" applyProtection="1">
      <alignment horizontal="left" indent="1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 indent="1"/>
    </xf>
    <xf numFmtId="0" fontId="3" fillId="0" borderId="0" xfId="0" applyFont="1" applyAlignment="1" applyProtection="1">
      <alignment horizontal="right"/>
    </xf>
    <xf numFmtId="0" fontId="0" fillId="3" borderId="0" xfId="0" applyFill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right" indent="1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 inden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Border="1" applyAlignment="1" applyProtection="1">
      <alignment horizontal="left" indent="1"/>
    </xf>
    <xf numFmtId="0" fontId="1" fillId="0" borderId="0" xfId="0" applyFont="1" applyAlignment="1" applyProtection="1">
      <alignment horizontal="right" indent="1"/>
    </xf>
    <xf numFmtId="0" fontId="0" fillId="0" borderId="1" xfId="0" applyFill="1" applyBorder="1" applyAlignment="1" applyProtection="1">
      <alignment horizontal="right" indent="1"/>
    </xf>
    <xf numFmtId="9" fontId="1" fillId="0" borderId="0" xfId="0" applyNumberFormat="1" applyFont="1" applyAlignment="1" applyProtection="1">
      <alignment horizontal="left" indent="1"/>
    </xf>
    <xf numFmtId="0" fontId="0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7" fillId="0" borderId="0" xfId="0" applyFont="1" applyAlignment="1">
      <alignment vertical="center"/>
    </xf>
    <xf numFmtId="0" fontId="0" fillId="3" borderId="0" xfId="0" applyFill="1" applyBorder="1" applyAlignment="1" applyProtection="1">
      <alignment horizontal="center"/>
    </xf>
    <xf numFmtId="2" fontId="3" fillId="0" borderId="0" xfId="0" applyNumberFormat="1" applyFont="1" applyFill="1" applyAlignment="1" applyProtection="1">
      <alignment horizontal="center"/>
    </xf>
    <xf numFmtId="0" fontId="0" fillId="2" borderId="0" xfId="0" applyNumberFormat="1" applyFill="1" applyAlignment="1" applyProtection="1">
      <alignment horizontal="left" indent="1"/>
      <protection locked="0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Protection="1"/>
    <xf numFmtId="0" fontId="0" fillId="7" borderId="0" xfId="0" applyFill="1" applyProtection="1"/>
    <xf numFmtId="0" fontId="0" fillId="3" borderId="1" xfId="0" applyFill="1" applyBorder="1" applyAlignment="1" applyProtection="1">
      <alignment horizontal="right" indent="1"/>
    </xf>
    <xf numFmtId="0" fontId="0" fillId="3" borderId="0" xfId="0" applyFill="1" applyBorder="1" applyAlignment="1" applyProtection="1">
      <alignment horizontal="right"/>
    </xf>
    <xf numFmtId="2" fontId="0" fillId="3" borderId="0" xfId="0" applyNumberFormat="1" applyFill="1" applyAlignment="1" applyProtection="1">
      <alignment horizontal="left" indent="1"/>
    </xf>
    <xf numFmtId="164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8" fillId="0" borderId="0" xfId="0" applyFont="1" applyAlignment="1" applyProtection="1">
      <alignment horizontal="center"/>
    </xf>
    <xf numFmtId="9" fontId="8" fillId="0" borderId="0" xfId="0" applyNumberFormat="1" applyFont="1" applyAlignment="1" applyProtection="1">
      <alignment horizontal="center"/>
    </xf>
    <xf numFmtId="0" fontId="0" fillId="0" borderId="1" xfId="0" applyFill="1" applyBorder="1" applyAlignment="1">
      <alignment horizontal="right" indent="1"/>
    </xf>
    <xf numFmtId="0" fontId="0" fillId="8" borderId="0" xfId="0" applyFill="1" applyBorder="1"/>
    <xf numFmtId="0" fontId="0" fillId="8" borderId="8" xfId="0" applyFill="1" applyBorder="1" applyAlignment="1">
      <alignment horizontal="center"/>
    </xf>
    <xf numFmtId="14" fontId="0" fillId="8" borderId="8" xfId="0" applyNumberFormat="1" applyFill="1" applyBorder="1" applyAlignment="1">
      <alignment horizontal="center"/>
    </xf>
    <xf numFmtId="0" fontId="9" fillId="9" borderId="0" xfId="0" applyFont="1" applyFill="1" applyBorder="1"/>
    <xf numFmtId="0" fontId="0" fillId="8" borderId="0" xfId="0" applyFill="1" applyBorder="1" applyAlignment="1">
      <alignment horizontal="left" indent="1"/>
    </xf>
    <xf numFmtId="0" fontId="0" fillId="8" borderId="10" xfId="0" applyFill="1" applyBorder="1" applyAlignment="1">
      <alignment horizontal="center"/>
    </xf>
    <xf numFmtId="0" fontId="0" fillId="8" borderId="4" xfId="0" applyFill="1" applyBorder="1" applyAlignment="1">
      <alignment horizontal="left" indent="1"/>
    </xf>
    <xf numFmtId="0" fontId="0" fillId="8" borderId="4" xfId="0" applyFill="1" applyBorder="1"/>
    <xf numFmtId="0" fontId="0" fillId="8" borderId="13" xfId="0" applyFill="1" applyBorder="1" applyAlignment="1">
      <alignment horizontal="center"/>
    </xf>
    <xf numFmtId="0" fontId="0" fillId="8" borderId="12" xfId="0" applyFill="1" applyBorder="1" applyAlignment="1">
      <alignment horizontal="left" indent="1"/>
    </xf>
    <xf numFmtId="0" fontId="0" fillId="8" borderId="12" xfId="0" applyFill="1" applyBorder="1"/>
    <xf numFmtId="0" fontId="0" fillId="0" borderId="0" xfId="0" applyFill="1" applyBorder="1" applyAlignment="1">
      <alignment horizontal="left" indent="1"/>
    </xf>
    <xf numFmtId="0" fontId="0" fillId="8" borderId="16" xfId="0" applyFill="1" applyBorder="1" applyAlignment="1">
      <alignment horizontal="center"/>
    </xf>
    <xf numFmtId="0" fontId="0" fillId="8" borderId="15" xfId="0" applyFill="1" applyBorder="1" applyAlignment="1">
      <alignment horizontal="left" indent="1"/>
    </xf>
    <xf numFmtId="0" fontId="0" fillId="8" borderId="15" xfId="0" applyFill="1" applyBorder="1"/>
    <xf numFmtId="0" fontId="10" fillId="8" borderId="1" xfId="0" applyFont="1" applyFill="1" applyBorder="1" applyAlignment="1" applyProtection="1">
      <alignment horizontal="left" vertical="center" indent="3"/>
    </xf>
    <xf numFmtId="14" fontId="10" fillId="0" borderId="1" xfId="0" applyNumberFormat="1" applyFont="1" applyFill="1" applyBorder="1" applyAlignment="1" applyProtection="1">
      <alignment horizontal="left" vertical="center" indent="3"/>
    </xf>
    <xf numFmtId="0" fontId="1" fillId="0" borderId="1" xfId="0" applyFont="1" applyBorder="1" applyAlignment="1" applyProtection="1">
      <alignment horizontal="right" indent="1"/>
    </xf>
    <xf numFmtId="2" fontId="1" fillId="0" borderId="0" xfId="0" applyNumberFormat="1" applyFont="1" applyFill="1" applyAlignment="1" applyProtection="1">
      <alignment horizontal="left" indent="1"/>
    </xf>
    <xf numFmtId="0" fontId="0" fillId="2" borderId="0" xfId="0" applyFill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center"/>
    </xf>
    <xf numFmtId="0" fontId="0" fillId="8" borderId="6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1" fillId="9" borderId="7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14" fontId="0" fillId="8" borderId="13" xfId="0" applyNumberFormat="1" applyFill="1" applyBorder="1" applyAlignment="1">
      <alignment horizontal="center"/>
    </xf>
    <xf numFmtId="0" fontId="11" fillId="9" borderId="0" xfId="0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 applyProtection="1">
      <alignment horizontal="left" indent="1"/>
      <protection locked="0"/>
    </xf>
    <xf numFmtId="2" fontId="12" fillId="0" borderId="0" xfId="0" applyNumberFormat="1" applyFont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1"/>
    </xf>
    <xf numFmtId="9" fontId="4" fillId="0" borderId="0" xfId="0" applyNumberFormat="1" applyFont="1" applyAlignment="1" applyProtection="1">
      <alignment horizontal="center"/>
    </xf>
    <xf numFmtId="14" fontId="0" fillId="8" borderId="16" xfId="0" applyNumberFormat="1" applyFill="1" applyBorder="1" applyAlignment="1">
      <alignment horizontal="center"/>
    </xf>
    <xf numFmtId="0" fontId="0" fillId="8" borderId="14" xfId="0" applyFill="1" applyBorder="1" applyAlignment="1">
      <alignment horizontal="left" indent="1"/>
    </xf>
    <xf numFmtId="9" fontId="3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right" indent="1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8" borderId="6" xfId="0" applyFill="1" applyBorder="1" applyAlignment="1">
      <alignment horizontal="left" indent="1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3" fillId="0" borderId="0" xfId="0" applyFont="1"/>
    <xf numFmtId="0" fontId="0" fillId="0" borderId="0" xfId="0" applyFill="1" applyAlignment="1">
      <alignment horizontal="right" indent="1"/>
    </xf>
    <xf numFmtId="0" fontId="1" fillId="8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right" indent="1"/>
    </xf>
    <xf numFmtId="0" fontId="1" fillId="0" borderId="0" xfId="0" applyFont="1" applyFill="1" applyAlignment="1">
      <alignment horizontal="right"/>
    </xf>
    <xf numFmtId="0" fontId="0" fillId="0" borderId="0" xfId="0" applyNumberFormat="1" applyFill="1" applyAlignment="1">
      <alignment horizontal="right" indent="1"/>
    </xf>
    <xf numFmtId="0" fontId="0" fillId="0" borderId="0" xfId="0" applyNumberFormat="1" applyFill="1" applyBorder="1" applyAlignment="1" applyProtection="1">
      <alignment horizontal="left" indent="1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 applyProtection="1">
      <alignment horizontal="left" indent="1"/>
    </xf>
    <xf numFmtId="0" fontId="1" fillId="3" borderId="1" xfId="0" applyFont="1" applyFill="1" applyBorder="1" applyAlignment="1" applyProtection="1">
      <alignment horizontal="right" indent="1"/>
    </xf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left" indent="1"/>
    </xf>
    <xf numFmtId="0" fontId="15" fillId="0" borderId="0" xfId="0" applyFont="1" applyAlignment="1" applyProtection="1">
      <alignment horizontal="left" indent="1"/>
    </xf>
    <xf numFmtId="0" fontId="16" fillId="0" borderId="0" xfId="1" applyProtection="1"/>
    <xf numFmtId="0" fontId="0" fillId="4" borderId="0" xfId="0" applyFill="1"/>
    <xf numFmtId="0" fontId="0" fillId="8" borderId="0" xfId="0" applyFill="1" applyBorder="1" applyProtection="1"/>
    <xf numFmtId="0" fontId="1" fillId="8" borderId="0" xfId="0" applyFont="1" applyFill="1" applyBorder="1" applyAlignment="1" applyProtection="1">
      <alignment horizontal="left" indent="1"/>
    </xf>
    <xf numFmtId="0" fontId="0" fillId="8" borderId="4" xfId="0" applyFill="1" applyBorder="1" applyProtection="1"/>
    <xf numFmtId="0" fontId="1" fillId="8" borderId="0" xfId="0" applyFont="1" applyFill="1" applyBorder="1" applyAlignment="1" applyProtection="1">
      <alignment horizontal="left" vertical="top" indent="1"/>
    </xf>
    <xf numFmtId="0" fontId="17" fillId="8" borderId="0" xfId="0" applyFont="1" applyFill="1" applyBorder="1" applyAlignment="1" applyProtection="1">
      <alignment horizontal="left" indent="1"/>
    </xf>
    <xf numFmtId="0" fontId="3" fillId="8" borderId="4" xfId="0" applyFont="1" applyFill="1" applyBorder="1" applyAlignment="1" applyProtection="1">
      <alignment horizontal="center"/>
    </xf>
    <xf numFmtId="0" fontId="1" fillId="8" borderId="4" xfId="0" applyFont="1" applyFill="1" applyBorder="1" applyProtection="1"/>
    <xf numFmtId="0" fontId="9" fillId="0" borderId="0" xfId="0" applyFont="1" applyFill="1" applyAlignment="1">
      <alignment vertical="center" wrapText="1"/>
    </xf>
    <xf numFmtId="0" fontId="0" fillId="0" borderId="0" xfId="0" applyAlignment="1" applyProtection="1">
      <alignment horizontal="left" vertical="center"/>
    </xf>
    <xf numFmtId="0" fontId="13" fillId="0" borderId="0" xfId="0" applyFont="1" applyProtection="1"/>
    <xf numFmtId="0" fontId="0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1" xfId="0" applyFont="1" applyBorder="1" applyAlignment="1" applyProtection="1">
      <alignment horizontal="right" indent="1"/>
    </xf>
    <xf numFmtId="0" fontId="0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1"/>
      <protection locked="0"/>
    </xf>
    <xf numFmtId="0" fontId="0" fillId="0" borderId="0" xfId="0" applyFont="1" applyBorder="1" applyProtection="1"/>
    <xf numFmtId="0" fontId="18" fillId="9" borderId="0" xfId="0" applyFont="1" applyFill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9" fillId="9" borderId="0" xfId="0" applyFont="1" applyFill="1" applyAlignment="1">
      <alignment horizontal="left" vertical="center" wrapText="1"/>
    </xf>
    <xf numFmtId="0" fontId="14" fillId="9" borderId="0" xfId="0" applyFont="1" applyFill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2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rgb="FF92D050"/>
      </font>
    </dxf>
    <dxf>
      <font>
        <color rgb="FF00B050"/>
      </font>
    </dxf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sesb.cepel.br/index.php?section=sundata&amp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DD495-1ED6-46A6-9F51-123D04D17C72}">
  <sheetPr codeName="Planilha1"/>
  <dimension ref="A1:AC125"/>
  <sheetViews>
    <sheetView tabSelected="1" zoomScaleNormal="100" workbookViewId="0">
      <selection activeCell="B96" sqref="B96:B97"/>
    </sheetView>
  </sheetViews>
  <sheetFormatPr defaultColWidth="9.42578125" defaultRowHeight="17.25" customHeight="1" x14ac:dyDescent="0.25"/>
  <cols>
    <col min="1" max="1" width="67.28515625" style="26" customWidth="1"/>
    <col min="2" max="2" width="9.42578125" style="21" customWidth="1"/>
    <col min="3" max="3" width="9.42578125" style="22" customWidth="1"/>
    <col min="4" max="13" width="9.42578125" style="22"/>
    <col min="14" max="14" width="9.42578125" style="72" hidden="1" customWidth="1"/>
    <col min="15" max="23" width="9.42578125" style="22" hidden="1" customWidth="1"/>
    <col min="24" max="24" width="9.42578125" style="72" hidden="1" customWidth="1"/>
    <col min="25" max="16384" width="9.42578125" style="22"/>
  </cols>
  <sheetData>
    <row r="1" spans="1:29" ht="17.25" customHeight="1" x14ac:dyDescent="0.25">
      <c r="A1" s="126" t="s">
        <v>413</v>
      </c>
      <c r="B1" s="196" t="s">
        <v>402</v>
      </c>
      <c r="E1" s="201" t="s">
        <v>384</v>
      </c>
      <c r="F1" s="201"/>
      <c r="G1" s="16"/>
      <c r="H1" s="16"/>
      <c r="I1" s="16"/>
      <c r="J1" s="16"/>
      <c r="K1" s="16"/>
      <c r="L1" s="16"/>
    </row>
    <row r="2" spans="1:29" ht="17.25" customHeight="1" x14ac:dyDescent="0.25">
      <c r="A2" s="127">
        <v>44705</v>
      </c>
      <c r="B2" s="196" t="s">
        <v>403</v>
      </c>
      <c r="E2" s="201"/>
      <c r="F2" s="201"/>
      <c r="G2" s="192"/>
      <c r="H2" s="192"/>
      <c r="I2" s="192"/>
      <c r="J2" s="192"/>
      <c r="K2" s="192"/>
      <c r="L2" s="192"/>
      <c r="M2" s="31"/>
    </row>
    <row r="3" spans="1:29" ht="17.25" customHeight="1" x14ac:dyDescent="0.25">
      <c r="A3" s="127"/>
      <c r="B3" s="196"/>
      <c r="E3" s="204" t="s">
        <v>396</v>
      </c>
      <c r="F3" s="204"/>
      <c r="G3" s="204"/>
      <c r="H3" s="204"/>
      <c r="I3" s="204"/>
      <c r="J3" s="204"/>
      <c r="K3" s="204"/>
      <c r="L3" s="204"/>
      <c r="M3" s="31"/>
    </row>
    <row r="4" spans="1:29" ht="17.25" customHeight="1" x14ac:dyDescent="0.3">
      <c r="A4" s="23" t="s">
        <v>383</v>
      </c>
      <c r="B4" s="202"/>
      <c r="C4" s="203"/>
      <c r="D4" s="24"/>
      <c r="E4" s="204"/>
      <c r="F4" s="204"/>
      <c r="G4" s="204"/>
      <c r="H4" s="204"/>
      <c r="I4" s="204"/>
      <c r="J4" s="204"/>
      <c r="K4" s="204"/>
      <c r="L4" s="204"/>
      <c r="M4" s="31"/>
    </row>
    <row r="5" spans="1:29" ht="17.25" customHeight="1" x14ac:dyDescent="0.25">
      <c r="A5" s="128" t="s">
        <v>331</v>
      </c>
      <c r="B5" s="84" t="e">
        <f>HLOOKUP($B$4,INVERSORES!4:57,29,0)</f>
        <v>#N/A</v>
      </c>
      <c r="E5" s="204"/>
      <c r="F5" s="204"/>
      <c r="G5" s="204"/>
      <c r="H5" s="204"/>
      <c r="I5" s="204"/>
      <c r="J5" s="204"/>
      <c r="K5" s="204"/>
      <c r="L5" s="204"/>
      <c r="M5" s="31"/>
      <c r="O5" s="24" t="s">
        <v>121</v>
      </c>
      <c r="P5" s="25"/>
      <c r="R5" s="24" t="s">
        <v>122</v>
      </c>
      <c r="U5" s="24" t="s">
        <v>222</v>
      </c>
    </row>
    <row r="6" spans="1:29" ht="17.25" customHeight="1" x14ac:dyDescent="0.25">
      <c r="A6" s="197" t="s">
        <v>404</v>
      </c>
      <c r="B6" s="198" t="e">
        <f>HLOOKUP($B$4,INVERSORES!4:57,30,0)</f>
        <v>#N/A</v>
      </c>
      <c r="E6" s="204"/>
      <c r="F6" s="204"/>
      <c r="G6" s="204"/>
      <c r="H6" s="204"/>
      <c r="I6" s="204"/>
      <c r="J6" s="204"/>
      <c r="K6" s="204"/>
      <c r="L6" s="204"/>
      <c r="M6" s="31"/>
      <c r="O6" s="24"/>
      <c r="P6" s="25"/>
      <c r="R6" s="24"/>
      <c r="U6" s="24"/>
    </row>
    <row r="7" spans="1:29" ht="17.25" customHeight="1" x14ac:dyDescent="0.25">
      <c r="A7" s="26" t="s">
        <v>5</v>
      </c>
      <c r="B7" s="27" t="e">
        <f>HLOOKUP($B$4,INVERSORES!4:57,2,0)</f>
        <v>#N/A</v>
      </c>
      <c r="E7" s="204"/>
      <c r="F7" s="204"/>
      <c r="G7" s="204"/>
      <c r="H7" s="204"/>
      <c r="I7" s="204"/>
      <c r="J7" s="204"/>
      <c r="K7" s="204"/>
      <c r="L7" s="204"/>
      <c r="M7" s="31"/>
      <c r="O7" s="24"/>
      <c r="P7" s="25"/>
      <c r="R7" s="24"/>
      <c r="U7" s="24"/>
    </row>
    <row r="8" spans="1:29" ht="17.25" customHeight="1" x14ac:dyDescent="0.25">
      <c r="A8" s="26" t="s">
        <v>1</v>
      </c>
      <c r="B8" s="28" t="e">
        <f>HLOOKUP($B$4,INVERSORES!4:57,3,0)</f>
        <v>#N/A</v>
      </c>
      <c r="E8" s="204"/>
      <c r="F8" s="204"/>
      <c r="G8" s="204"/>
      <c r="H8" s="204"/>
      <c r="I8" s="204"/>
      <c r="J8" s="204"/>
      <c r="K8" s="204"/>
      <c r="L8" s="204"/>
      <c r="M8" s="31"/>
      <c r="O8" s="22" t="s">
        <v>115</v>
      </c>
      <c r="P8" s="25"/>
      <c r="Q8" s="29" t="e">
        <f>HLOOKUP($B$4,INVERSORES!4:57,10,0)</f>
        <v>#N/A</v>
      </c>
      <c r="R8" s="22" t="s">
        <v>128</v>
      </c>
      <c r="T8" s="29" t="e">
        <f>HLOOKUP($B$4,INVERSORES!4:57,11,0)</f>
        <v>#N/A</v>
      </c>
      <c r="U8" s="22" t="s">
        <v>128</v>
      </c>
      <c r="W8" s="29" t="e">
        <f>HLOOKUP($B$4,INVERSORES!4:57,23,0)</f>
        <v>#N/A</v>
      </c>
    </row>
    <row r="9" spans="1:29" ht="17.25" customHeight="1" x14ac:dyDescent="0.25">
      <c r="A9" s="26" t="s">
        <v>2</v>
      </c>
      <c r="B9" s="28" t="e">
        <f>HLOOKUP($B$4,INVERSORES!4:57,4,0)</f>
        <v>#N/A</v>
      </c>
      <c r="E9" s="204" t="s">
        <v>401</v>
      </c>
      <c r="F9" s="204"/>
      <c r="G9" s="204"/>
      <c r="H9" s="204"/>
      <c r="I9" s="204"/>
      <c r="J9" s="204"/>
      <c r="K9" s="204"/>
      <c r="L9" s="204"/>
      <c r="M9" s="31"/>
      <c r="O9" s="22" t="s">
        <v>116</v>
      </c>
      <c r="P9" s="25"/>
      <c r="Q9" s="29" t="e">
        <f>HLOOKUP($B$4,INVERSORES!4:57,12,0)</f>
        <v>#N/A</v>
      </c>
      <c r="R9" s="22" t="s">
        <v>123</v>
      </c>
      <c r="T9" s="29" t="e">
        <f>HLOOKUP($B$4,INVERSORES!4:57,13,0)</f>
        <v>#N/A</v>
      </c>
      <c r="U9" s="22" t="s">
        <v>123</v>
      </c>
      <c r="W9" s="29" t="e">
        <f>HLOOKUP($B$4,INVERSORES!4:57,24,0)</f>
        <v>#N/A</v>
      </c>
    </row>
    <row r="10" spans="1:29" ht="17.25" customHeight="1" x14ac:dyDescent="0.25">
      <c r="A10" s="26" t="s">
        <v>3</v>
      </c>
      <c r="B10" s="28" t="e">
        <f>HLOOKUP($B$4,INVERSORES!4:57,5,0)</f>
        <v>#N/A</v>
      </c>
      <c r="E10" s="204"/>
      <c r="F10" s="204"/>
      <c r="G10" s="204"/>
      <c r="H10" s="204"/>
      <c r="I10" s="204"/>
      <c r="J10" s="204"/>
      <c r="K10" s="204"/>
      <c r="L10" s="204"/>
      <c r="M10" s="31"/>
      <c r="O10" s="22" t="s">
        <v>117</v>
      </c>
      <c r="P10" s="25"/>
      <c r="Q10" s="29" t="e">
        <f>HLOOKUP($B$4,INVERSORES!4:57,14,0)</f>
        <v>#N/A</v>
      </c>
      <c r="R10" s="22" t="s">
        <v>124</v>
      </c>
      <c r="T10" s="29" t="e">
        <f>HLOOKUP($B$4,INVERSORES!4:57,15,0)</f>
        <v>#N/A</v>
      </c>
      <c r="U10" s="22" t="s">
        <v>124</v>
      </c>
      <c r="W10" s="29" t="e">
        <f>HLOOKUP($B$4,INVERSORES!4:57,25,0)</f>
        <v>#N/A</v>
      </c>
    </row>
    <row r="11" spans="1:29" ht="17.25" customHeight="1" x14ac:dyDescent="0.25">
      <c r="A11" s="26" t="s">
        <v>131</v>
      </c>
      <c r="B11" s="28" t="e">
        <f>HLOOKUP($B$4,INVERSORES!4:57,6,0)</f>
        <v>#N/A</v>
      </c>
      <c r="E11" s="204"/>
      <c r="F11" s="204"/>
      <c r="G11" s="204"/>
      <c r="H11" s="204"/>
      <c r="I11" s="204"/>
      <c r="J11" s="204"/>
      <c r="K11" s="204"/>
      <c r="L11" s="204"/>
      <c r="M11" s="31"/>
      <c r="O11" s="22" t="s">
        <v>118</v>
      </c>
      <c r="P11" s="25"/>
      <c r="Q11" s="29" t="e">
        <f>HLOOKUP($B$4,INVERSORES!4:57,16,0)</f>
        <v>#N/A</v>
      </c>
      <c r="R11" s="22" t="s">
        <v>125</v>
      </c>
      <c r="T11" s="29" t="e">
        <f>HLOOKUP($B$4,INVERSORES!4:57,17,0)</f>
        <v>#N/A</v>
      </c>
      <c r="U11" s="22" t="s">
        <v>125</v>
      </c>
      <c r="W11" s="29" t="e">
        <f>HLOOKUP($B$4,INVERSORES!4:57,26,0)</f>
        <v>#N/A</v>
      </c>
      <c r="AC11" s="193"/>
    </row>
    <row r="12" spans="1:29" ht="17.25" customHeight="1" x14ac:dyDescent="0.25">
      <c r="A12" s="26" t="s">
        <v>132</v>
      </c>
      <c r="B12" s="28" t="e">
        <f>HLOOKUP($B$4,INVERSORES!4:57,7,0)</f>
        <v>#N/A</v>
      </c>
      <c r="C12" s="25"/>
      <c r="E12" s="204" t="s">
        <v>394</v>
      </c>
      <c r="F12" s="204"/>
      <c r="G12" s="204"/>
      <c r="H12" s="204"/>
      <c r="I12" s="204"/>
      <c r="J12" s="204"/>
      <c r="K12" s="204"/>
      <c r="L12" s="204"/>
      <c r="M12" s="31"/>
      <c r="O12" s="22" t="s">
        <v>119</v>
      </c>
      <c r="Q12" s="29" t="e">
        <f>HLOOKUP($B$4,INVERSORES!4:57,18,0)</f>
        <v>#N/A</v>
      </c>
      <c r="R12" s="22" t="s">
        <v>126</v>
      </c>
      <c r="T12" s="29" t="e">
        <f>HLOOKUP($B$4,INVERSORES!4:57,19,0)</f>
        <v>#N/A</v>
      </c>
      <c r="U12" s="22" t="s">
        <v>126</v>
      </c>
      <c r="W12" s="29" t="e">
        <f>HLOOKUP($B$4,INVERSORES!4:57,27,0)</f>
        <v>#N/A</v>
      </c>
    </row>
    <row r="13" spans="1:29" ht="17.25" customHeight="1" x14ac:dyDescent="0.25">
      <c r="A13" s="26" t="s">
        <v>136</v>
      </c>
      <c r="B13" s="28" t="e">
        <f>HLOOKUP($B$4,INVERSORES!4:57,8,0)</f>
        <v>#N/A</v>
      </c>
      <c r="C13" s="25"/>
      <c r="E13" s="204"/>
      <c r="F13" s="204"/>
      <c r="G13" s="204"/>
      <c r="H13" s="204"/>
      <c r="I13" s="204"/>
      <c r="J13" s="204"/>
      <c r="K13" s="204"/>
      <c r="L13" s="204"/>
      <c r="M13" s="31"/>
      <c r="O13" s="22" t="s">
        <v>120</v>
      </c>
      <c r="Q13" s="29" t="e">
        <f>HLOOKUP($B$4,INVERSORES!4:57,20,0)</f>
        <v>#N/A</v>
      </c>
      <c r="R13" s="22" t="s">
        <v>127</v>
      </c>
      <c r="T13" s="29" t="e">
        <f>HLOOKUP($B$4,INVERSORES!4:57,21,0)</f>
        <v>#N/A</v>
      </c>
      <c r="U13" s="22" t="s">
        <v>127</v>
      </c>
      <c r="W13" s="29" t="e">
        <f>HLOOKUP($B$4,INVERSORES!4:57,28,0)</f>
        <v>#N/A</v>
      </c>
    </row>
    <row r="14" spans="1:29" ht="17.25" customHeight="1" x14ac:dyDescent="0.25">
      <c r="A14" s="26" t="s">
        <v>4</v>
      </c>
      <c r="B14" s="28" t="e">
        <f>HLOOKUP($B$4,INVERSORES!4:57,9,0)</f>
        <v>#N/A</v>
      </c>
      <c r="C14" s="25"/>
      <c r="E14" s="204"/>
      <c r="F14" s="204"/>
      <c r="G14" s="204"/>
      <c r="H14" s="204"/>
      <c r="I14" s="204"/>
      <c r="J14" s="204"/>
      <c r="K14" s="204"/>
      <c r="L14" s="204"/>
      <c r="M14" s="31"/>
      <c r="O14" s="30" t="s">
        <v>129</v>
      </c>
      <c r="P14" s="31" t="e">
        <f>IF(Q9=0,Q8,IF(Q10=0,CONCATENATE(Q8," / ",Q9),IF(Q11=0,CONCATENATE(Q8," / ",Q9," / ",Q10),IF(Q12=0,CONCATENATE(Q11," / ",Q10," / ",Q9," / ",Q8),IF(Q13=0,CONCATENATE(Q12," / ",Q11," / ",Q10," / ",Q9," / ",Q8),CONCATENATE(Q13," / ",Q12," / ",Q11," / ",Q10," / ",Q9," / ",Q8))))))</f>
        <v>#N/A</v>
      </c>
      <c r="Q14" s="31"/>
      <c r="R14" s="30" t="s">
        <v>129</v>
      </c>
      <c r="S14" s="31" t="e">
        <f>IF(T9=0,T8,IF(T10=0,CONCATENATE(T8," + ",T9),IF(T11=0,CONCATENATE(T8," + ",T9," + ",T10),IF(T12=0,CONCATENATE(T11," + ",T10," + ",T9," + ",T8),IF(T13=0,CONCATENATE(T12," + ",T11," + ",T10," + ",T9," + ",T8),CONCATENATE(T13," + ",T12," + ",T11," + ",T10," + ",T9," + ",T8))))))</f>
        <v>#N/A</v>
      </c>
      <c r="T14" s="31"/>
      <c r="U14" s="30" t="s">
        <v>129</v>
      </c>
      <c r="V14" s="31" t="e">
        <f>IF(W9=0,W8,IF(W10=0,CONCATENATE(W8," + ",W9),IF(W11=0,CONCATENATE(W8," + ",W9," + ",W10),IF(W12=0,CONCATENATE(W11," + ",W10," + ",W9," + ",W8),IF(W13=0,CONCATENATE(W12," + ",W11," + ",W10," + ",W9," + ",W8),CONCATENATE(W13," + ",W12," + ",W11," + ",W10," + ",W9," + ",W8))))))</f>
        <v>#N/A</v>
      </c>
      <c r="W14" s="31"/>
    </row>
    <row r="15" spans="1:29" ht="17.25" customHeight="1" x14ac:dyDescent="0.25">
      <c r="A15" s="26" t="s">
        <v>130</v>
      </c>
      <c r="B15" s="28" t="e">
        <f>P14</f>
        <v>#N/A</v>
      </c>
      <c r="E15" s="205" t="s">
        <v>395</v>
      </c>
      <c r="F15" s="205"/>
      <c r="G15" s="205"/>
      <c r="H15" s="205"/>
      <c r="I15" s="205"/>
      <c r="J15" s="205"/>
      <c r="K15" s="205"/>
      <c r="L15" s="205"/>
      <c r="M15" s="31"/>
    </row>
    <row r="16" spans="1:29" ht="17.25" customHeight="1" x14ac:dyDescent="0.25">
      <c r="A16" s="26" t="s">
        <v>114</v>
      </c>
      <c r="B16" s="28" t="e">
        <f>S14</f>
        <v>#N/A</v>
      </c>
      <c r="E16" s="205"/>
      <c r="F16" s="205"/>
      <c r="G16" s="205"/>
      <c r="H16" s="205"/>
      <c r="I16" s="205"/>
      <c r="J16" s="205"/>
      <c r="K16" s="205"/>
      <c r="L16" s="205"/>
      <c r="M16" s="31"/>
    </row>
    <row r="17" spans="1:24" ht="17.25" customHeight="1" x14ac:dyDescent="0.25">
      <c r="A17" s="26" t="s">
        <v>229</v>
      </c>
      <c r="B17" s="28" t="e">
        <f>V14</f>
        <v>#N/A</v>
      </c>
      <c r="E17" s="205"/>
      <c r="F17" s="205"/>
      <c r="G17" s="205"/>
      <c r="H17" s="205"/>
      <c r="I17" s="205"/>
      <c r="J17" s="205"/>
      <c r="K17" s="205"/>
      <c r="L17" s="205"/>
      <c r="M17" s="31"/>
    </row>
    <row r="18" spans="1:24" s="33" customFormat="1" ht="17.25" customHeight="1" x14ac:dyDescent="0.25">
      <c r="A18" s="32"/>
      <c r="N18" s="73"/>
      <c r="X18" s="73"/>
    </row>
    <row r="19" spans="1:24" s="35" customFormat="1" ht="17.25" customHeight="1" x14ac:dyDescent="0.25">
      <c r="A19" s="26"/>
      <c r="B19" s="34"/>
      <c r="N19" s="74"/>
      <c r="O19" s="96" t="s">
        <v>157</v>
      </c>
      <c r="P19" s="97" t="e">
        <f>IF(AND((ISNUMBER(Q8)),(Q8&lt;&gt;0)),1,0)</f>
        <v>#N/A</v>
      </c>
      <c r="Q19" s="98"/>
      <c r="R19" s="98"/>
      <c r="X19" s="74"/>
    </row>
    <row r="20" spans="1:24" ht="17.25" customHeight="1" x14ac:dyDescent="0.3">
      <c r="A20" s="23" t="s">
        <v>6</v>
      </c>
      <c r="B20" s="202"/>
      <c r="C20" s="203"/>
      <c r="D20" s="24"/>
      <c r="E20" s="37"/>
      <c r="F20" s="37"/>
      <c r="G20" s="37"/>
      <c r="H20" s="37"/>
      <c r="I20" s="37"/>
      <c r="J20" s="37"/>
      <c r="K20" s="37"/>
      <c r="L20" s="37"/>
      <c r="M20" s="37"/>
      <c r="N20" s="75"/>
      <c r="O20" s="96" t="s">
        <v>158</v>
      </c>
      <c r="P20" s="97" t="e">
        <f>IF(AND((ISNUMBER(Q9)),(Q9&lt;&gt;0)),1,0)</f>
        <v>#N/A</v>
      </c>
      <c r="Q20" s="99"/>
      <c r="R20" s="99"/>
    </row>
    <row r="21" spans="1:24" ht="17.25" customHeight="1" x14ac:dyDescent="0.25">
      <c r="A21" s="128" t="s">
        <v>352</v>
      </c>
      <c r="B21" s="173" t="e">
        <f>HLOOKUP($B$20,MÓDULOS!B6:BZ17,12,0)</f>
        <v>#N/A</v>
      </c>
      <c r="E21" s="37"/>
      <c r="F21" s="37"/>
      <c r="G21" s="37"/>
      <c r="H21" s="37"/>
      <c r="I21" s="37"/>
      <c r="J21" s="37"/>
      <c r="K21" s="37"/>
      <c r="L21" s="37"/>
      <c r="M21" s="37"/>
      <c r="N21" s="75"/>
      <c r="O21" s="96" t="s">
        <v>159</v>
      </c>
      <c r="P21" s="97" t="e">
        <f>IF(AND((ISNUMBER(Q10)),(Q10&lt;&gt;0)),1,0)</f>
        <v>#N/A</v>
      </c>
      <c r="Q21" s="99" t="s">
        <v>163</v>
      </c>
      <c r="R21" s="99"/>
    </row>
    <row r="22" spans="1:24" ht="17.25" customHeight="1" x14ac:dyDescent="0.25">
      <c r="A22" s="26" t="s">
        <v>10</v>
      </c>
      <c r="B22" s="10">
        <v>-10</v>
      </c>
      <c r="E22" s="37"/>
      <c r="F22" s="37"/>
      <c r="G22" s="37"/>
      <c r="H22" s="37"/>
      <c r="I22" s="37"/>
      <c r="J22" s="37"/>
      <c r="K22" s="37"/>
      <c r="L22" s="37"/>
      <c r="M22" s="37"/>
      <c r="N22" s="75"/>
      <c r="O22" s="96"/>
      <c r="P22" s="97"/>
      <c r="Q22" s="99"/>
      <c r="R22" s="99"/>
    </row>
    <row r="23" spans="1:24" ht="17.25" customHeight="1" x14ac:dyDescent="0.25">
      <c r="A23" s="26" t="s">
        <v>11</v>
      </c>
      <c r="B23" s="10">
        <v>90</v>
      </c>
      <c r="E23" s="37"/>
      <c r="F23" s="37"/>
      <c r="G23" s="37"/>
      <c r="H23" s="37"/>
      <c r="I23" s="37"/>
      <c r="J23" s="37"/>
      <c r="K23" s="37"/>
      <c r="L23" s="37"/>
      <c r="M23" s="37"/>
      <c r="N23" s="75"/>
      <c r="O23" s="96" t="s">
        <v>160</v>
      </c>
      <c r="P23" s="97" t="e">
        <f>IF(AND((ISNUMBER(Q11)),(Q11&lt;&gt;0)),1,0)</f>
        <v>#N/A</v>
      </c>
      <c r="Q23" s="99" t="e">
        <f>SUM(P19:P27)</f>
        <v>#N/A</v>
      </c>
      <c r="R23" s="99"/>
    </row>
    <row r="24" spans="1:24" ht="17.25" customHeight="1" x14ac:dyDescent="0.25">
      <c r="A24" s="26" t="s">
        <v>12</v>
      </c>
      <c r="B24" s="10">
        <v>45</v>
      </c>
      <c r="C24" s="24" t="str">
        <f>IF(B23&lt;B24,"TEMPERATURA MÁXIMA MENOR","")</f>
        <v/>
      </c>
      <c r="E24" s="37"/>
      <c r="F24" s="37"/>
      <c r="G24" s="37"/>
      <c r="H24" s="37"/>
      <c r="I24" s="37"/>
      <c r="J24" s="37"/>
      <c r="K24" s="37"/>
      <c r="L24" s="37"/>
      <c r="M24" s="37"/>
      <c r="N24" s="75"/>
      <c r="O24" s="96" t="s">
        <v>161</v>
      </c>
      <c r="P24" s="97" t="e">
        <f>IF(AND((ISNUMBER(Q12)),(Q12&lt;&gt;0)),1,0)</f>
        <v>#N/A</v>
      </c>
      <c r="Q24" s="99"/>
      <c r="R24" s="99"/>
    </row>
    <row r="25" spans="1:24" s="72" customFormat="1" ht="17.25" hidden="1" customHeight="1" x14ac:dyDescent="0.25">
      <c r="A25" s="174" t="s">
        <v>211</v>
      </c>
      <c r="B25" s="175"/>
      <c r="C25" s="176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102"/>
      <c r="P25" s="79"/>
    </row>
    <row r="26" spans="1:24" ht="17.25" hidden="1" customHeight="1" x14ac:dyDescent="0.25">
      <c r="A26" s="128" t="s">
        <v>8</v>
      </c>
      <c r="B26" s="129" t="e">
        <f>B25/B27</f>
        <v>#N/A</v>
      </c>
      <c r="C26" s="24"/>
      <c r="E26" s="37"/>
      <c r="F26" s="37"/>
      <c r="G26" s="37"/>
      <c r="H26" s="37"/>
      <c r="I26" s="37"/>
      <c r="J26" s="37"/>
      <c r="K26" s="37"/>
      <c r="L26" s="37"/>
      <c r="M26" s="37"/>
      <c r="N26" s="75"/>
      <c r="O26" s="96"/>
      <c r="P26" s="97"/>
      <c r="Q26" s="99"/>
      <c r="R26" s="99"/>
    </row>
    <row r="27" spans="1:24" s="31" customFormat="1" ht="17.25" hidden="1" customHeight="1" x14ac:dyDescent="0.25">
      <c r="A27" s="88" t="s">
        <v>9</v>
      </c>
      <c r="B27" s="28" t="e">
        <f>HLOOKUP($B$20,MÓDULOS!$B$6:$EF$14,2,0)</f>
        <v>#N/A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76"/>
      <c r="O27" s="178" t="s">
        <v>162</v>
      </c>
      <c r="P27" s="179" t="e">
        <f>IF(AND((ISNUMBER(Q13)),(Q13&lt;&gt;0)),1,0)</f>
        <v>#N/A</v>
      </c>
      <c r="R27" s="31" t="s">
        <v>164</v>
      </c>
      <c r="X27" s="72"/>
    </row>
    <row r="28" spans="1:24" ht="17.25" hidden="1" customHeight="1" x14ac:dyDescent="0.25">
      <c r="A28" s="26" t="s">
        <v>13</v>
      </c>
      <c r="B28" s="28" t="e">
        <f>HLOOKUP($B$20,MÓDULOS!$B$6:$EF$14,3,0)</f>
        <v>#N/A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76"/>
      <c r="R28" s="100" t="s">
        <v>165</v>
      </c>
      <c r="S28" s="100"/>
      <c r="T28" s="100"/>
    </row>
    <row r="29" spans="1:24" ht="17.25" hidden="1" customHeight="1" x14ac:dyDescent="0.25">
      <c r="A29" s="26" t="s">
        <v>14</v>
      </c>
      <c r="B29" s="28" t="e">
        <f>HLOOKUP($B$20,MÓDULOS!$B$6:$EF$14,4,0)</f>
        <v>#N/A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76"/>
      <c r="R29" s="100" t="s">
        <v>166</v>
      </c>
      <c r="S29" s="100"/>
      <c r="T29" s="100"/>
    </row>
    <row r="30" spans="1:24" ht="17.25" hidden="1" customHeight="1" x14ac:dyDescent="0.25">
      <c r="A30" s="26" t="s">
        <v>15</v>
      </c>
      <c r="B30" s="28" t="e">
        <f>HLOOKUP($B$20,MÓDULOS!$B$6:$EF$14,5,0)</f>
        <v>#N/A</v>
      </c>
      <c r="D30" s="29"/>
      <c r="E30" s="38"/>
      <c r="F30" s="38"/>
      <c r="G30" s="38"/>
      <c r="H30" s="38"/>
      <c r="I30" s="38"/>
      <c r="J30" s="29"/>
      <c r="K30" s="29"/>
      <c r="L30" s="29"/>
      <c r="M30" s="29"/>
      <c r="N30" s="76"/>
      <c r="R30" s="100" t="s">
        <v>167</v>
      </c>
      <c r="S30" s="100"/>
      <c r="T30" s="100"/>
    </row>
    <row r="31" spans="1:24" ht="17.25" hidden="1" customHeight="1" x14ac:dyDescent="0.25">
      <c r="A31" s="26" t="s">
        <v>16</v>
      </c>
      <c r="B31" s="28" t="e">
        <f>HLOOKUP($B$20,MÓDULOS!$B$6:$EF$14,6,0)</f>
        <v>#N/A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76"/>
    </row>
    <row r="32" spans="1:24" ht="17.25" hidden="1" customHeight="1" x14ac:dyDescent="0.25">
      <c r="A32" s="26" t="s">
        <v>17</v>
      </c>
      <c r="B32" s="28" t="e">
        <f>HLOOKUP($B$20,MÓDULOS!$B$6:$EF$14,7,0)</f>
        <v>#N/A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76"/>
    </row>
    <row r="33" spans="1:24" ht="17.25" hidden="1" customHeight="1" x14ac:dyDescent="0.25">
      <c r="A33" s="26" t="s">
        <v>18</v>
      </c>
      <c r="B33" s="28" t="e">
        <f>HLOOKUP($B$20,MÓDULOS!$B$6:$EF$14,8,0)</f>
        <v>#N/A</v>
      </c>
      <c r="D33" s="29"/>
      <c r="E33" s="29"/>
      <c r="F33" s="29"/>
      <c r="G33" s="29"/>
      <c r="H33" s="38"/>
      <c r="I33" s="29"/>
      <c r="J33" s="29"/>
      <c r="K33" s="29"/>
      <c r="L33" s="29"/>
      <c r="M33" s="29"/>
      <c r="N33" s="76"/>
    </row>
    <row r="34" spans="1:24" s="35" customFormat="1" ht="17.25" hidden="1" customHeight="1" x14ac:dyDescent="0.25">
      <c r="A34" s="26" t="s">
        <v>19</v>
      </c>
      <c r="B34" s="39" t="e">
        <f>HLOOKUP($B$20,MÓDULOS!$B$6:$EF$14,9,0)</f>
        <v>#N/A</v>
      </c>
      <c r="D34" s="40"/>
      <c r="E34" s="40"/>
      <c r="F34" s="40"/>
      <c r="G34" s="40"/>
      <c r="H34" s="41"/>
      <c r="I34" s="40"/>
      <c r="J34" s="40"/>
      <c r="K34" s="40"/>
      <c r="L34" s="40"/>
      <c r="M34" s="40"/>
      <c r="N34" s="77"/>
      <c r="X34" s="74"/>
    </row>
    <row r="35" spans="1:24" s="33" customFormat="1" ht="17.25" hidden="1" customHeight="1" x14ac:dyDescent="0.25">
      <c r="A35" s="32"/>
      <c r="D35" s="42"/>
      <c r="E35" s="43"/>
      <c r="F35" s="43"/>
      <c r="G35" s="43"/>
      <c r="H35" s="42"/>
      <c r="I35" s="42"/>
      <c r="J35" s="42"/>
      <c r="K35" s="42"/>
      <c r="L35" s="42"/>
      <c r="M35" s="42"/>
      <c r="N35" s="78"/>
      <c r="X35" s="73"/>
    </row>
    <row r="36" spans="1:24" s="35" customFormat="1" ht="17.25" hidden="1" customHeight="1" x14ac:dyDescent="0.25">
      <c r="A36" s="26"/>
      <c r="B36" s="27"/>
      <c r="D36" s="40"/>
      <c r="E36" s="41"/>
      <c r="F36" s="41"/>
      <c r="G36" s="41"/>
      <c r="H36" s="40"/>
      <c r="I36" s="40"/>
      <c r="J36" s="40"/>
      <c r="K36" s="40"/>
      <c r="L36" s="40"/>
      <c r="M36" s="40"/>
      <c r="N36" s="77"/>
      <c r="X36" s="74"/>
    </row>
    <row r="37" spans="1:24" s="35" customFormat="1" ht="17.25" hidden="1" customHeight="1" x14ac:dyDescent="0.25">
      <c r="A37" s="44" t="s">
        <v>169</v>
      </c>
      <c r="B37" s="39" t="e">
        <f>(((B23-25)*(B30/100))+1)*B31</f>
        <v>#N/A</v>
      </c>
      <c r="D37" s="40"/>
      <c r="E37" s="41"/>
      <c r="F37" s="41"/>
      <c r="G37" s="41"/>
      <c r="H37" s="40"/>
      <c r="I37" s="40"/>
      <c r="J37" s="40"/>
      <c r="K37" s="40"/>
      <c r="L37" s="40"/>
      <c r="M37" s="40"/>
      <c r="N37" s="77"/>
      <c r="X37" s="74"/>
    </row>
    <row r="38" spans="1:24" ht="17.25" hidden="1" customHeight="1" x14ac:dyDescent="0.25">
      <c r="A38" s="44" t="s">
        <v>20</v>
      </c>
      <c r="B38" s="45" t="e">
        <f>(((B24-25)*(B30/100))+1)*B31</f>
        <v>#N/A</v>
      </c>
    </row>
    <row r="39" spans="1:24" ht="17.25" hidden="1" customHeight="1" x14ac:dyDescent="0.25">
      <c r="A39" s="26" t="s">
        <v>109</v>
      </c>
      <c r="B39" s="45" t="e">
        <f>(((B22-25)*(B28/100))+1)*B32</f>
        <v>#N/A</v>
      </c>
    </row>
    <row r="40" spans="1:24" ht="17.25" hidden="1" customHeight="1" x14ac:dyDescent="0.25">
      <c r="A40" s="26" t="s">
        <v>21</v>
      </c>
      <c r="B40" s="45" t="e">
        <f>((((B23-25)*(B29/100))+1)*B33)</f>
        <v>#N/A</v>
      </c>
    </row>
    <row r="41" spans="1:24" ht="17.25" hidden="1" customHeight="1" x14ac:dyDescent="0.25">
      <c r="A41" s="26" t="s">
        <v>22</v>
      </c>
      <c r="B41" s="45" t="e">
        <f>(((B23-25)*(B29/100))+1)*B34</f>
        <v>#N/A</v>
      </c>
    </row>
    <row r="42" spans="1:24" ht="17.25" hidden="1" customHeight="1" x14ac:dyDescent="0.25">
      <c r="A42" s="26" t="s">
        <v>23</v>
      </c>
      <c r="B42" s="45" t="e">
        <f>(((B23-25)*(B30/100))+1)*B27</f>
        <v>#N/A</v>
      </c>
    </row>
    <row r="43" spans="1:24" ht="17.25" hidden="1" customHeight="1" x14ac:dyDescent="0.25">
      <c r="A43" s="26" t="s">
        <v>24</v>
      </c>
      <c r="B43" s="45" t="e">
        <f>B49*B39</f>
        <v>#N/A</v>
      </c>
    </row>
    <row r="44" spans="1:24" s="72" customFormat="1" ht="17.25" hidden="1" customHeight="1" x14ac:dyDescent="0.25">
      <c r="A44" s="101" t="s">
        <v>25</v>
      </c>
      <c r="B44" s="103" t="e">
        <f>B38*B49</f>
        <v>#N/A</v>
      </c>
      <c r="C44" s="80"/>
    </row>
    <row r="45" spans="1:24" s="33" customFormat="1" ht="17.25" customHeight="1" x14ac:dyDescent="0.25">
      <c r="A45" s="46"/>
      <c r="B45" s="47"/>
      <c r="C45" s="48"/>
      <c r="N45" s="73"/>
      <c r="X45" s="73"/>
    </row>
    <row r="46" spans="1:24" s="35" customFormat="1" ht="17.25" customHeight="1" x14ac:dyDescent="0.25">
      <c r="A46" s="26"/>
      <c r="B46" s="49"/>
      <c r="C46" s="50"/>
      <c r="N46" s="74"/>
      <c r="X46" s="74"/>
    </row>
    <row r="47" spans="1:24" s="35" customFormat="1" ht="17.25" customHeight="1" x14ac:dyDescent="0.3">
      <c r="A47" s="23" t="s">
        <v>153</v>
      </c>
      <c r="B47" s="49"/>
      <c r="C47" s="50"/>
      <c r="N47" s="74"/>
      <c r="X47" s="74"/>
    </row>
    <row r="48" spans="1:24" s="35" customFormat="1" ht="17.25" customHeight="1" x14ac:dyDescent="0.25">
      <c r="A48" s="26" t="s">
        <v>90</v>
      </c>
      <c r="B48" s="51" t="e">
        <f>IF(R49&gt;R50,R49,R50)</f>
        <v>#N/A</v>
      </c>
      <c r="C48" s="50"/>
      <c r="N48" s="74"/>
      <c r="O48" s="86" t="s">
        <v>111</v>
      </c>
      <c r="X48" s="74"/>
    </row>
    <row r="49" spans="1:24" ht="17.25" customHeight="1" x14ac:dyDescent="0.25">
      <c r="A49" s="70" t="s">
        <v>135</v>
      </c>
      <c r="B49" s="53" t="e">
        <f>ROUNDDOWN(B9/B39,0)</f>
        <v>#N/A</v>
      </c>
      <c r="O49" s="36" t="s">
        <v>133</v>
      </c>
      <c r="P49" s="54" t="e">
        <f>HLOOKUP($B$4,INVERSORES!4:24,5,0)</f>
        <v>#N/A</v>
      </c>
      <c r="Q49" s="22" t="s">
        <v>112</v>
      </c>
      <c r="R49" s="55" t="e">
        <f>ROUNDUP(P49/B32,0)</f>
        <v>#N/A</v>
      </c>
    </row>
    <row r="50" spans="1:24" s="35" customFormat="1" ht="17.25" customHeight="1" x14ac:dyDescent="0.25">
      <c r="A50" s="26" t="s">
        <v>108</v>
      </c>
      <c r="B50" s="51" t="e">
        <f>ROUNDDOWN((B8*1000)/B27,0)</f>
        <v>#N/A</v>
      </c>
      <c r="N50" s="74"/>
      <c r="O50" s="56" t="s">
        <v>134</v>
      </c>
      <c r="P50" s="55" t="e">
        <f>HLOOKUP($B$4,INVERSORES!4:24,5,0)</f>
        <v>#N/A</v>
      </c>
      <c r="Q50" s="22" t="s">
        <v>113</v>
      </c>
      <c r="R50" s="54" t="e">
        <f>ROUNDUP(P50/B37,0)</f>
        <v>#N/A</v>
      </c>
      <c r="X50" s="74"/>
    </row>
    <row r="51" spans="1:24" s="35" customFormat="1" ht="17.25" hidden="1" customHeight="1" x14ac:dyDescent="0.25">
      <c r="A51" s="26" t="s">
        <v>168</v>
      </c>
      <c r="B51" s="57" t="e">
        <f>B50/SUM(Q8:Q13)</f>
        <v>#N/A</v>
      </c>
      <c r="C51" s="104"/>
      <c r="N51" s="74"/>
      <c r="O51" s="56"/>
      <c r="P51" s="55"/>
      <c r="Q51" s="22"/>
      <c r="R51" s="54"/>
      <c r="X51" s="74"/>
    </row>
    <row r="52" spans="1:24" s="35" customFormat="1" ht="17.25" hidden="1" customHeight="1" x14ac:dyDescent="0.25">
      <c r="A52" s="26" t="s">
        <v>152</v>
      </c>
      <c r="B52" s="51" t="e">
        <f>ROUND(B13/B38,0)</f>
        <v>#N/A</v>
      </c>
      <c r="N52" s="74"/>
      <c r="X52" s="74"/>
    </row>
    <row r="53" spans="1:24" s="35" customFormat="1" ht="17.25" customHeight="1" x14ac:dyDescent="0.25">
      <c r="A53" s="26"/>
      <c r="B53" s="57"/>
      <c r="H53" s="25" t="e">
        <f>IF((O57+P57+Q57+R57+S57+T57)&gt;B14,"QUANTIDADE DE MPPTs ACIMA DA CAPACIDADE DO INVERSOR","")</f>
        <v>#N/A</v>
      </c>
      <c r="N53" s="74"/>
      <c r="X53" s="74"/>
    </row>
    <row r="54" spans="1:24" s="35" customFormat="1" ht="17.25" customHeight="1" x14ac:dyDescent="0.25">
      <c r="A54" s="128" t="s">
        <v>241</v>
      </c>
      <c r="B54" s="147" t="s">
        <v>252</v>
      </c>
      <c r="G54" s="25"/>
      <c r="H54" s="25" t="str">
        <f>IF(OR(B60="ACIMA",C60="ACIMA",D60="ACIMA",E60="ACIMA"),"MPPT(S) COM MAIS STRINGS QUE O SUPORTADO","")</f>
        <v/>
      </c>
      <c r="N54" s="74"/>
      <c r="X54" s="74"/>
    </row>
    <row r="55" spans="1:24" ht="17.25" customHeight="1" x14ac:dyDescent="0.25">
      <c r="A55" s="44" t="s">
        <v>77</v>
      </c>
      <c r="B55" s="58" t="e">
        <f>IF(OR($B$14=1,$B$14=2,$B$14=3,$B$14=4,$B$14=5,$B$14=6),1,"N/A")</f>
        <v>#N/A</v>
      </c>
      <c r="C55" s="58" t="e">
        <f>IF(OR($B$14=2,$B$14=3,$B$14=4,$B$14=5,$B$14=6),2,"N/A")</f>
        <v>#N/A</v>
      </c>
      <c r="D55" s="58" t="e">
        <f>IF(OR($B$14=3,$B$14=4,$B$14=5,$B$14=6),3,"N/A")</f>
        <v>#N/A</v>
      </c>
      <c r="E55" s="58" t="e">
        <f>IF(OR($B$14=4,$B$14=5,$B$14=6),4,"N/A")</f>
        <v>#N/A</v>
      </c>
      <c r="F55" s="58" t="e">
        <f>IF(OR($B$14=5,$B$14=6),5,"N/A")</f>
        <v>#N/A</v>
      </c>
      <c r="G55" s="58" t="e">
        <f>IF($B$14=6,6,"N/A")</f>
        <v>#N/A</v>
      </c>
      <c r="I55" s="106" t="str">
        <f>CONCATENATE("Módulo ",B20)</f>
        <v xml:space="preserve">Módulo </v>
      </c>
    </row>
    <row r="56" spans="1:24" ht="17.25" customHeight="1" x14ac:dyDescent="0.25">
      <c r="A56" s="26" t="s">
        <v>26</v>
      </c>
      <c r="B56" s="11"/>
      <c r="C56" s="11"/>
      <c r="D56" s="11"/>
      <c r="E56" s="11"/>
      <c r="F56" s="11"/>
      <c r="G56" s="11"/>
      <c r="H56" s="28"/>
      <c r="I56" s="107" t="str">
        <f>CONCATENATE("Inversor ",B4)</f>
        <v xml:space="preserve">Inversor </v>
      </c>
      <c r="K56" s="105"/>
      <c r="O56" s="84" t="s">
        <v>138</v>
      </c>
    </row>
    <row r="57" spans="1:24" ht="17.25" customHeight="1" x14ac:dyDescent="0.25">
      <c r="A57" s="26" t="s">
        <v>27</v>
      </c>
      <c r="B57" s="11"/>
      <c r="C57" s="11"/>
      <c r="D57" s="11"/>
      <c r="E57" s="11"/>
      <c r="F57" s="11"/>
      <c r="G57" s="11"/>
      <c r="H57" s="28"/>
      <c r="O57" s="22">
        <f t="shared" ref="O57:T60" si="0">IF(ISNUMBER(B56),1,0)</f>
        <v>0</v>
      </c>
      <c r="P57" s="22">
        <f t="shared" si="0"/>
        <v>0</v>
      </c>
      <c r="Q57" s="22">
        <f t="shared" si="0"/>
        <v>0</v>
      </c>
      <c r="R57" s="22">
        <f t="shared" si="0"/>
        <v>0</v>
      </c>
      <c r="S57" s="22">
        <f t="shared" si="0"/>
        <v>0</v>
      </c>
      <c r="T57" s="22">
        <f t="shared" si="0"/>
        <v>0</v>
      </c>
    </row>
    <row r="58" spans="1:24" ht="17.25" customHeight="1" x14ac:dyDescent="0.25">
      <c r="A58" s="26" t="s">
        <v>31</v>
      </c>
      <c r="B58" s="11"/>
      <c r="C58" s="11"/>
      <c r="D58" s="11"/>
      <c r="E58" s="11"/>
      <c r="F58" s="11"/>
      <c r="G58" s="11"/>
      <c r="H58" s="28"/>
      <c r="I58" s="108" t="s">
        <v>28</v>
      </c>
      <c r="J58" s="108" t="s">
        <v>29</v>
      </c>
      <c r="K58" s="108" t="s">
        <v>30</v>
      </c>
      <c r="L58" s="149" t="s">
        <v>255</v>
      </c>
      <c r="O58" s="22">
        <f t="shared" si="0"/>
        <v>0</v>
      </c>
      <c r="P58" s="22">
        <f t="shared" si="0"/>
        <v>0</v>
      </c>
      <c r="Q58" s="22">
        <f t="shared" si="0"/>
        <v>0</v>
      </c>
      <c r="R58" s="22">
        <f t="shared" si="0"/>
        <v>0</v>
      </c>
      <c r="S58" s="22">
        <f t="shared" si="0"/>
        <v>0</v>
      </c>
      <c r="T58" s="22">
        <f t="shared" si="0"/>
        <v>0</v>
      </c>
    </row>
    <row r="59" spans="1:24" ht="17.25" customHeight="1" x14ac:dyDescent="0.25">
      <c r="A59" s="26" t="s">
        <v>32</v>
      </c>
      <c r="B59" s="11"/>
      <c r="C59" s="11"/>
      <c r="D59" s="11"/>
      <c r="E59" s="11"/>
      <c r="F59" s="11"/>
      <c r="G59" s="11"/>
      <c r="H59" s="28"/>
      <c r="I59" s="108">
        <f>SUM(B56:G59)</f>
        <v>0</v>
      </c>
      <c r="J59" s="108" t="e">
        <f>(I59*B27)/1000</f>
        <v>#N/A</v>
      </c>
      <c r="K59" s="109" t="e">
        <f>J59/B7</f>
        <v>#N/A</v>
      </c>
      <c r="L59" s="150" t="e">
        <f>B82</f>
        <v>#N/A</v>
      </c>
      <c r="O59" s="22">
        <f t="shared" si="0"/>
        <v>0</v>
      </c>
      <c r="P59" s="22">
        <f t="shared" si="0"/>
        <v>0</v>
      </c>
      <c r="Q59" s="22">
        <f t="shared" si="0"/>
        <v>0</v>
      </c>
      <c r="R59" s="22">
        <f t="shared" si="0"/>
        <v>0</v>
      </c>
      <c r="S59" s="22">
        <f t="shared" si="0"/>
        <v>0</v>
      </c>
      <c r="T59" s="22">
        <f t="shared" si="0"/>
        <v>0</v>
      </c>
    </row>
    <row r="60" spans="1:24" ht="17.25" customHeight="1" x14ac:dyDescent="0.25">
      <c r="A60" s="26" t="s">
        <v>137</v>
      </c>
      <c r="B60" s="85" t="str">
        <f>IF(B56="","",IF(SUM(O57:O60)&lt;=Q8,"OK","ACIMA"))</f>
        <v/>
      </c>
      <c r="C60" s="85" t="str">
        <f>IF(C56="","",IF(SUM(P57:P60)&lt;=Q9,"OK","ACIMA"))</f>
        <v/>
      </c>
      <c r="D60" s="85" t="str">
        <f>IF(D56="","",IF(SUM(Q57:Q60)&lt;=Q10,"OK","ACIMA"))</f>
        <v/>
      </c>
      <c r="E60" s="85" t="str">
        <f>IF(E56="","",IF(SUM(R57:R60)&lt;=Q11,"OK","ACIMA"))</f>
        <v/>
      </c>
      <c r="F60" s="85" t="str">
        <f>IF(F56="","",IF(SUM(S57:S60)&lt;=Q12,"OK","ACIMA"))</f>
        <v/>
      </c>
      <c r="G60" s="85" t="str">
        <f>IF(G56="","",IF(SUM(T57:T60)&lt;=Q13,"OK","ACIMA"))</f>
        <v/>
      </c>
      <c r="K60" s="24" t="e">
        <f>IF(B83&gt;B82,"F.D. ACIMA DA RECOMENDAÇÃO DO FABRICANTE","DENTRO DO F.D. ESPECIFICADO")</f>
        <v>#N/A</v>
      </c>
      <c r="O60" s="22">
        <f t="shared" si="0"/>
        <v>0</v>
      </c>
      <c r="P60" s="22">
        <f t="shared" si="0"/>
        <v>0</v>
      </c>
      <c r="Q60" s="22">
        <f t="shared" si="0"/>
        <v>0</v>
      </c>
      <c r="R60" s="22">
        <f t="shared" si="0"/>
        <v>0</v>
      </c>
      <c r="S60" s="22">
        <f t="shared" si="0"/>
        <v>0</v>
      </c>
      <c r="T60" s="22">
        <f t="shared" si="0"/>
        <v>0</v>
      </c>
    </row>
    <row r="61" spans="1:24" ht="17.25" customHeight="1" x14ac:dyDescent="0.25">
      <c r="A61" s="26" t="s">
        <v>33</v>
      </c>
      <c r="B61" s="59" t="str">
        <f>IF(B56="","",IF(ISNUMBER(B59),IF(AND(B59=B58,B59=B57,B59=B56),"OK","ERRO"),IF(ISNUMBER(B58),IF(AND(B58=B57,B58=B56),"OK","ERRO"),IF(ISNUMBER(B57),IF(B57=B56,"OK","ERRO"),"OK"))))</f>
        <v/>
      </c>
      <c r="C61" s="59" t="str">
        <f>IF(C56="","",IF(ISNUMBER(C59),IF(AND(C59=C58,C59=C57,C59=C56),"OK","ERRO"),IF(ISNUMBER(C58),IF(AND(C58=C57,C58=C56),"OK","ERRO"),IF(ISNUMBER(C57),IF(C57=C56,"OK","ERRO"),"OK"))))</f>
        <v/>
      </c>
      <c r="D61" s="59" t="str">
        <f>IF(D56="","",IF(ISNUMBER(D59),IF(AND(D59=D58,D59=D57,D59=D56),"OK","ERRO"),IF(ISNUMBER(D58),IF(AND(D58=D57,D58=D56),"OK","ERRO"),IF(ISNUMBER(D57),IF(D57=D56,"OK","ERRO"),"OK"))))</f>
        <v/>
      </c>
      <c r="E61" s="59" t="str">
        <f>IF(E56="","",IF(ISNUMBER(E59),IF(AND(E59=E58,E59=E57,E59=E56),"OK","ERRO"),IF(ISNUMBER(E58),IF(AND(E58=E57,E58=E56),"OK","ERRO"),IF(ISNUMBER(E57),IF(E57=E56,"OK","ERRO"),"OK"))))</f>
        <v/>
      </c>
      <c r="F61" s="59" t="str">
        <f t="shared" ref="F61:G61" si="1">IF(F56="","",IF(ISNUMBER(F59),IF(AND(F59=F58,F59=F57,F59=F56),"OK","ERRO"),IF(ISNUMBER(F58),IF(AND(F58=F57,F58=F56),"OK","ERRO"),IF(ISNUMBER(F57),IF(F57=F56,"OK","ERRO"),"OK"))))</f>
        <v/>
      </c>
      <c r="G61" s="59" t="str">
        <f t="shared" si="1"/>
        <v/>
      </c>
      <c r="H61" s="25" t="str">
        <f>IF(OR(B61="ERRO",C61="ERRO",D61="ERRO",E61="ERRO"),"STRING(S) COM NÚMERO DIFERENTE DE MÓDULOS","")</f>
        <v/>
      </c>
      <c r="I61" s="61"/>
      <c r="M61" s="24" t="e">
        <f>IF(B83&gt;B82,"POSSÍVEL VETO DE GARANTIA","")</f>
        <v>#N/A</v>
      </c>
    </row>
    <row r="62" spans="1:24" ht="17.25" customHeight="1" x14ac:dyDescent="0.25">
      <c r="A62" s="26" t="s">
        <v>34</v>
      </c>
      <c r="B62" s="54" t="str">
        <f>IF(B56="","",SUM(B56:B59))</f>
        <v/>
      </c>
      <c r="C62" s="54" t="str">
        <f>IF(C56="","",SUM(C56:C59))</f>
        <v/>
      </c>
      <c r="D62" s="54" t="str">
        <f>IF(D56="","",SUM(D56:D59))</f>
        <v/>
      </c>
      <c r="E62" s="54" t="str">
        <f>IF(E56="","",SUM(E56:E59))</f>
        <v/>
      </c>
      <c r="F62" s="54" t="str">
        <f t="shared" ref="F62:G62" si="2">IF(F56="","",SUM(F56:F59))</f>
        <v/>
      </c>
      <c r="G62" s="54" t="str">
        <f t="shared" si="2"/>
        <v/>
      </c>
      <c r="I62" s="194" t="s">
        <v>384</v>
      </c>
      <c r="S62" s="87" t="s">
        <v>139</v>
      </c>
      <c r="T62" s="29" t="e">
        <f>IF(LARGE(B71:E71,1)&gt;900,CONCATENATE("STB.",(O57+O58+O59+O60+P57+P58+P59+P60+Q57+Q58+Q59+Q60+R57+R58+R59+R60),"E",(O57+P57+Q57+R57),"S.1000Vcc"),IF(LARGE(B71:E71,1)&gt;600,CONCATENATE("STB.",(O57+O58+O59+O60+P57+P58+P59+P60+Q57+Q58+Q59+Q60+R57+R58+R59+R60),"E",(O57+P57+Q57+R57),"S.900Vcc"),IF(LARGE(B71:E71,1)&gt;500,CONCATENATE("STB.",(O57+O58+O59+O60+P57+P58+P59+P60+Q57+Q58+Q59+Q60+R57+R58+R59+R60),"E",(O57+P57+Q57+R57),"S.600Vcc"),CONCATENATE("STB.",(O57+O58+O59+O60+P57+P58+P59+P60+Q57+Q58+Q59+Q60+R57+R58+R59+R60),"E",(O57+P57+Q57+R57),"S.500Vcc"))))</f>
        <v>#NUM!</v>
      </c>
    </row>
    <row r="63" spans="1:24" ht="17.25" customHeight="1" x14ac:dyDescent="0.25">
      <c r="A63" s="26" t="s">
        <v>313</v>
      </c>
      <c r="B63" s="54" t="str">
        <f t="shared" ref="B63:G63" si="3">IF(ISNUMBER(B55),ROUNDDOWN((B64*1000)/$B$27,0),"")</f>
        <v/>
      </c>
      <c r="C63" s="54" t="str">
        <f t="shared" si="3"/>
        <v/>
      </c>
      <c r="D63" s="54" t="str">
        <f t="shared" si="3"/>
        <v/>
      </c>
      <c r="E63" s="54" t="str">
        <f t="shared" si="3"/>
        <v/>
      </c>
      <c r="F63" s="54" t="str">
        <f t="shared" si="3"/>
        <v/>
      </c>
      <c r="G63" s="54" t="str">
        <f t="shared" si="3"/>
        <v/>
      </c>
      <c r="I63" s="195" t="s">
        <v>397</v>
      </c>
      <c r="S63" s="87"/>
      <c r="T63" s="29"/>
    </row>
    <row r="64" spans="1:24" ht="17.25" customHeight="1" x14ac:dyDescent="0.25">
      <c r="A64" s="26" t="s">
        <v>262</v>
      </c>
      <c r="B64" s="62" t="str">
        <f>IF(ISNUMBER(B55),($B$8/(SUM($Q$8:$Q$13))*Q8)*1.15,"")</f>
        <v/>
      </c>
      <c r="C64" s="62" t="str">
        <f>IF(ISNUMBER(C55),($B$8/(SUM($Q$8:$Q$13))*Q9)*1.15,"")</f>
        <v/>
      </c>
      <c r="D64" s="62" t="str">
        <f>IF(ISNUMBER(D55),($B$8/(SUM($Q$8:$Q$13))*Q10)*1.15,"")</f>
        <v/>
      </c>
      <c r="E64" s="62" t="str">
        <f>IF(ISNUMBER(E55),($B$8/(SUM($Q$8:$Q$13))*Q11)*1.15,"")</f>
        <v/>
      </c>
      <c r="F64" s="62" t="str">
        <f>IF(ISNUMBER(F55),($B$8/(SUM($Q$8:$Q$13))*Q12)*1.15,"")</f>
        <v/>
      </c>
      <c r="G64" s="62" t="str">
        <f>IF(ISNUMBER(G55),($B$8/(SUM($Q$8:$Q$13))*Q13)*1.15,"")</f>
        <v/>
      </c>
      <c r="I64" s="195" t="s">
        <v>398</v>
      </c>
      <c r="S64" s="87"/>
      <c r="T64" s="29"/>
    </row>
    <row r="65" spans="1:24" ht="17.25" customHeight="1" x14ac:dyDescent="0.25">
      <c r="A65" s="26" t="s">
        <v>35</v>
      </c>
      <c r="B65" s="55" t="str">
        <f t="shared" ref="B65:G65" si="4">IF(B56="","",((SUM(B56:B59)*$B$27)/1000))</f>
        <v/>
      </c>
      <c r="C65" s="55" t="str">
        <f t="shared" si="4"/>
        <v/>
      </c>
      <c r="D65" s="55" t="str">
        <f t="shared" si="4"/>
        <v/>
      </c>
      <c r="E65" s="55" t="str">
        <f t="shared" si="4"/>
        <v/>
      </c>
      <c r="F65" s="55" t="str">
        <f t="shared" si="4"/>
        <v/>
      </c>
      <c r="G65" s="55" t="str">
        <f t="shared" si="4"/>
        <v/>
      </c>
      <c r="H65" s="59"/>
      <c r="I65" s="59"/>
      <c r="J65" s="60"/>
      <c r="S65" s="87" t="s">
        <v>140</v>
      </c>
      <c r="T65" s="21">
        <f>SUM(O57:T60)</f>
        <v>0</v>
      </c>
    </row>
    <row r="66" spans="1:24" s="31" customFormat="1" ht="17.25" customHeight="1" x14ac:dyDescent="0.25">
      <c r="A66" s="88" t="s">
        <v>174</v>
      </c>
      <c r="B66" s="155" t="str">
        <f t="shared" ref="B66:G66" si="5">IF(B56="","",IF(B65&gt;B64,"ACIMA","OK"))</f>
        <v/>
      </c>
      <c r="C66" s="156" t="str">
        <f t="shared" si="5"/>
        <v/>
      </c>
      <c r="D66" s="156" t="str">
        <f t="shared" si="5"/>
        <v/>
      </c>
      <c r="E66" s="156" t="str">
        <f t="shared" si="5"/>
        <v/>
      </c>
      <c r="F66" s="156" t="str">
        <f t="shared" si="5"/>
        <v/>
      </c>
      <c r="G66" s="156" t="str">
        <f t="shared" si="5"/>
        <v/>
      </c>
      <c r="H66" s="157"/>
      <c r="I66" s="157"/>
      <c r="J66" s="153"/>
      <c r="S66" s="154"/>
      <c r="T66" s="28"/>
      <c r="X66" s="72"/>
    </row>
    <row r="67" spans="1:24" ht="17.25" customHeight="1" x14ac:dyDescent="0.25">
      <c r="A67" s="26" t="s">
        <v>170</v>
      </c>
      <c r="B67" s="62" t="str">
        <f t="shared" ref="B67:G67" si="6">IF(B62="","",B56*$B$37)</f>
        <v/>
      </c>
      <c r="C67" s="158" t="str">
        <f t="shared" si="6"/>
        <v/>
      </c>
      <c r="D67" s="158" t="str">
        <f t="shared" si="6"/>
        <v/>
      </c>
      <c r="E67" s="158" t="str">
        <f t="shared" si="6"/>
        <v/>
      </c>
      <c r="F67" s="158" t="str">
        <f t="shared" si="6"/>
        <v/>
      </c>
      <c r="G67" s="158" t="str">
        <f t="shared" si="6"/>
        <v/>
      </c>
      <c r="H67" s="35"/>
      <c r="I67" s="35"/>
      <c r="S67" s="87" t="s">
        <v>141</v>
      </c>
      <c r="T67" s="21">
        <f>O57+P57+Q57+R57+S57+T57</f>
        <v>0</v>
      </c>
    </row>
    <row r="68" spans="1:24" ht="17.25" customHeight="1" x14ac:dyDescent="0.25">
      <c r="A68" s="26" t="s">
        <v>171</v>
      </c>
      <c r="B68" s="62" t="str">
        <f t="shared" ref="B68:G68" si="7">IF(B62="","",B56*$B$38)</f>
        <v/>
      </c>
      <c r="C68" s="62" t="str">
        <f t="shared" si="7"/>
        <v/>
      </c>
      <c r="D68" s="62" t="str">
        <f t="shared" si="7"/>
        <v/>
      </c>
      <c r="E68" s="62" t="str">
        <f t="shared" si="7"/>
        <v/>
      </c>
      <c r="F68" s="62" t="str">
        <f t="shared" si="7"/>
        <v/>
      </c>
      <c r="G68" s="62" t="str">
        <f t="shared" si="7"/>
        <v/>
      </c>
      <c r="S68" s="87"/>
      <c r="T68" s="21"/>
    </row>
    <row r="69" spans="1:24" ht="17.25" customHeight="1" x14ac:dyDescent="0.25">
      <c r="A69" s="26" t="s">
        <v>174</v>
      </c>
      <c r="B69" s="63" t="str">
        <f t="shared" ref="B69:G69" si="8">IF(B67="","",IF(B56&lt;$B$48,"+MÓD",IF(B67&gt;$B$12,"ACIMA","OK")))</f>
        <v/>
      </c>
      <c r="C69" s="63" t="str">
        <f t="shared" si="8"/>
        <v/>
      </c>
      <c r="D69" s="63" t="str">
        <f t="shared" si="8"/>
        <v/>
      </c>
      <c r="E69" s="63" t="str">
        <f t="shared" si="8"/>
        <v/>
      </c>
      <c r="F69" s="63" t="str">
        <f t="shared" si="8"/>
        <v/>
      </c>
      <c r="G69" s="63" t="str">
        <f t="shared" si="8"/>
        <v/>
      </c>
      <c r="H69" s="25"/>
      <c r="S69" s="87" t="s">
        <v>143</v>
      </c>
      <c r="T69" s="21" t="e">
        <f>IF(LARGE(B71:E71,1)&gt;900,1000,IF(LARGE(B71:E71,1)&gt;800,900,IF(LARGE(B71:E71,1)&gt;600,800,IF(LARGE(B71:E71,1)&gt;500,600,500))))</f>
        <v>#NUM!</v>
      </c>
    </row>
    <row r="70" spans="1:24" ht="17.25" hidden="1" customHeight="1" x14ac:dyDescent="0.25">
      <c r="A70" s="26" t="s">
        <v>172</v>
      </c>
      <c r="B70" s="94" t="str">
        <f t="shared" ref="B70:G70" si="9">IFERROR(IF(B62="","",IF(B68/$B$13&gt;1,$B$13/B68,B68/$B$13)),"N/A")</f>
        <v/>
      </c>
      <c r="C70" s="94" t="str">
        <f t="shared" si="9"/>
        <v/>
      </c>
      <c r="D70" s="94" t="str">
        <f t="shared" si="9"/>
        <v/>
      </c>
      <c r="E70" s="94" t="str">
        <f t="shared" si="9"/>
        <v/>
      </c>
      <c r="F70" s="94" t="str">
        <f t="shared" si="9"/>
        <v/>
      </c>
      <c r="G70" s="94" t="str">
        <f t="shared" si="9"/>
        <v/>
      </c>
      <c r="H70" s="25"/>
      <c r="Q70" s="83" t="s">
        <v>142</v>
      </c>
    </row>
    <row r="71" spans="1:24" ht="17.25" customHeight="1" x14ac:dyDescent="0.25">
      <c r="A71" s="26" t="s">
        <v>173</v>
      </c>
      <c r="B71" s="62" t="str">
        <f t="shared" ref="B71:G71" si="10">IF(B62="","",B56*$B$39)</f>
        <v/>
      </c>
      <c r="C71" s="62" t="str">
        <f t="shared" si="10"/>
        <v/>
      </c>
      <c r="D71" s="62" t="str">
        <f t="shared" si="10"/>
        <v/>
      </c>
      <c r="E71" s="62" t="str">
        <f t="shared" si="10"/>
        <v/>
      </c>
      <c r="F71" s="62" t="str">
        <f t="shared" si="10"/>
        <v/>
      </c>
      <c r="G71" s="62" t="str">
        <f t="shared" si="10"/>
        <v/>
      </c>
      <c r="H71" s="25"/>
      <c r="N71" s="79"/>
      <c r="Q71" s="91" t="e">
        <f>IF(T62="STB.6E2S.900Vcc","STB.6E2S.1000Vcc",IF(T62="STB.8E4S.900Vcc","STB.8E4S.1000Vcc",IF(T62="STB.9E3S.900Vcc","STB.9E3S.1000Vcc",IF(T62="STB.12E4S.900Vcc","STB.12E4S.1000Vcc",T62))))</f>
        <v>#NUM!</v>
      </c>
      <c r="R71" s="90" t="e">
        <f>IF(OR(Q71="STB.6E2S.1000Vcc",Q71="STB.8E4S.1000Vcc",Q71="STB.9E3S.1000Vcc",Q71="STB.12E4S.1000Vcc"),"(ProAuto)","---")</f>
        <v>#NUM!</v>
      </c>
    </row>
    <row r="72" spans="1:24" ht="17.25" customHeight="1" x14ac:dyDescent="0.25">
      <c r="A72" s="26" t="s">
        <v>174</v>
      </c>
      <c r="B72" s="63" t="str">
        <f>IF(B71="","",IF(B71&gt;$B$9,"ACIMA","OK"))</f>
        <v/>
      </c>
      <c r="C72" s="63" t="str">
        <f t="shared" ref="C72:E72" si="11">IF(C71="","",IF(C71&gt;$B$9,"ACIMA","OK"))</f>
        <v/>
      </c>
      <c r="D72" s="63" t="str">
        <f t="shared" si="11"/>
        <v/>
      </c>
      <c r="E72" s="63" t="str">
        <f t="shared" si="11"/>
        <v/>
      </c>
      <c r="F72" s="63" t="str">
        <f t="shared" ref="F72:G72" si="12">IF(F71="","",IF(F71&gt;$B$9,"ACIMA","OK"))</f>
        <v/>
      </c>
      <c r="G72" s="63" t="str">
        <f t="shared" si="12"/>
        <v/>
      </c>
      <c r="H72" s="25"/>
      <c r="N72" s="79"/>
    </row>
    <row r="73" spans="1:24" ht="17.25" customHeight="1" x14ac:dyDescent="0.25">
      <c r="A73" s="26" t="s">
        <v>151</v>
      </c>
      <c r="B73" s="62" t="str">
        <f t="shared" ref="B73:G73" si="13">IF(B62="","",(O57+O58+O59+O60)*$B$40)</f>
        <v/>
      </c>
      <c r="C73" s="62" t="str">
        <f t="shared" si="13"/>
        <v/>
      </c>
      <c r="D73" s="62" t="str">
        <f t="shared" si="13"/>
        <v/>
      </c>
      <c r="E73" s="62" t="str">
        <f t="shared" si="13"/>
        <v/>
      </c>
      <c r="F73" s="62" t="str">
        <f t="shared" si="13"/>
        <v/>
      </c>
      <c r="G73" s="62" t="str">
        <f t="shared" si="13"/>
        <v/>
      </c>
      <c r="H73" s="25"/>
      <c r="N73" s="79"/>
    </row>
    <row r="74" spans="1:24" ht="17.25" customHeight="1" x14ac:dyDescent="0.25">
      <c r="A74" s="26" t="s">
        <v>174</v>
      </c>
      <c r="B74" s="131" t="str">
        <f>IF(B75="","",IF(B73&gt;T8,"Ver obs.2","OK"))</f>
        <v/>
      </c>
      <c r="C74" s="131" t="str">
        <f>IF(C75="","",IF(C73&gt;T9,"Ver obs.2","OK"))</f>
        <v/>
      </c>
      <c r="D74" s="131" t="str">
        <f>IF(D75="","",IF(D73&gt;T10,"Ver obs.2","OK"))</f>
        <v/>
      </c>
      <c r="E74" s="131" t="str">
        <f>IF(E75="","",IF(E73&gt;T11,"Ver obs.2","OK"))</f>
        <v/>
      </c>
      <c r="F74" s="131" t="str">
        <f>IF(F75="","",IF(F73&gt;T12,"Ver obs.2","OK"))</f>
        <v/>
      </c>
      <c r="G74" s="131" t="str">
        <f>IF(G75="","",IF(G73&gt;T13,"Ver obs.2","OK"))</f>
        <v/>
      </c>
      <c r="H74" s="25"/>
      <c r="N74" s="79"/>
    </row>
    <row r="75" spans="1:24" ht="17.25" customHeight="1" x14ac:dyDescent="0.25">
      <c r="A75" s="26" t="s">
        <v>230</v>
      </c>
      <c r="B75" s="64" t="str">
        <f t="shared" ref="B75:G75" si="14">IF(B62="","",(O57+O58+O59+O60)*$B$41)</f>
        <v/>
      </c>
      <c r="C75" s="64" t="str">
        <f t="shared" si="14"/>
        <v/>
      </c>
      <c r="D75" s="64" t="str">
        <f t="shared" si="14"/>
        <v/>
      </c>
      <c r="E75" s="64" t="str">
        <f t="shared" si="14"/>
        <v/>
      </c>
      <c r="F75" s="64" t="str">
        <f t="shared" si="14"/>
        <v/>
      </c>
      <c r="G75" s="64" t="str">
        <f t="shared" si="14"/>
        <v/>
      </c>
      <c r="H75" s="25"/>
      <c r="N75" s="79"/>
    </row>
    <row r="76" spans="1:24" s="35" customFormat="1" ht="17.25" customHeight="1" x14ac:dyDescent="0.25">
      <c r="A76" s="26" t="s">
        <v>174</v>
      </c>
      <c r="B76" s="65" t="str">
        <f>IF(B75="","",IF(V14=0,"N/A",IF(B75&gt;W8,"ACIMA","OK")))</f>
        <v/>
      </c>
      <c r="C76" s="66" t="str">
        <f>IF(C75="","",IF(V14=0,"N/A",IF(C75&gt;W9,"ACIMA","OK")))</f>
        <v/>
      </c>
      <c r="D76" s="66" t="str">
        <f>IF(D75="","",IF(V14=0,"N/A",IF(D75&gt;W10,"ACIMA","OK")))</f>
        <v/>
      </c>
      <c r="E76" s="66" t="str">
        <f>IF(E75="","",IF(V14=0,"N/A",IF(E75&gt;W11,"ACIMA","OK")))</f>
        <v/>
      </c>
      <c r="F76" s="66" t="str">
        <f>IF(F75="","",IF(V14=0,"N/A",IF(F75&gt;W12,"ACIMA","OK")))</f>
        <v/>
      </c>
      <c r="G76" s="66" t="str">
        <f>IF(G75="","",IF(V14=0,"N/A",IF(G75&gt;W13,"ACIMA","OK")))</f>
        <v/>
      </c>
      <c r="H76" s="50"/>
      <c r="N76" s="93"/>
      <c r="O76" s="55"/>
      <c r="X76" s="74"/>
    </row>
    <row r="77" spans="1:24" ht="17.25" customHeight="1" x14ac:dyDescent="0.25">
      <c r="B77" s="181" t="s">
        <v>418</v>
      </c>
      <c r="C77" s="180"/>
      <c r="D77" s="67"/>
      <c r="E77" s="67"/>
      <c r="F77" s="67"/>
      <c r="G77" s="67"/>
      <c r="H77" s="25"/>
      <c r="O77" s="54"/>
    </row>
    <row r="78" spans="1:24" ht="17.25" customHeight="1" x14ac:dyDescent="0.25">
      <c r="B78" s="182" t="str">
        <f>IF((OR(B74="Ver obs.2",C74="Ver obs.2",D74="Ver obs.2",E74="Ver obs.2",F74="Ver obs.2",G74="Ver obs.2")),"Obs.2: provável clipping na corrente máxima do inversor (não impede utilização do módulo)","")</f>
        <v/>
      </c>
      <c r="C78" s="180"/>
      <c r="D78" s="67"/>
      <c r="E78" s="67"/>
      <c r="F78" s="67"/>
      <c r="G78" s="67"/>
      <c r="H78" s="25"/>
      <c r="M78" s="181"/>
      <c r="O78" s="54"/>
    </row>
    <row r="79" spans="1:24" ht="17.25" customHeight="1" x14ac:dyDescent="0.25">
      <c r="B79" s="181"/>
      <c r="C79" s="67"/>
      <c r="D79" s="67"/>
      <c r="E79" s="67"/>
      <c r="F79" s="67"/>
      <c r="G79" s="67"/>
      <c r="H79" s="25"/>
      <c r="O79" s="54"/>
    </row>
    <row r="80" spans="1:24" ht="17.25" customHeight="1" x14ac:dyDescent="0.25">
      <c r="A80" s="44" t="s">
        <v>36</v>
      </c>
      <c r="B80" s="45" t="e">
        <f>(I59*B42)/1000</f>
        <v>#N/A</v>
      </c>
      <c r="C80" s="25"/>
      <c r="N80" s="79"/>
      <c r="O80" s="54"/>
    </row>
    <row r="81" spans="1:24" ht="17.25" customHeight="1" x14ac:dyDescent="0.25">
      <c r="A81" s="26" t="s">
        <v>37</v>
      </c>
      <c r="B81" s="21" t="e">
        <f>((I59*B27)/1000)</f>
        <v>#N/A</v>
      </c>
      <c r="C81" s="25"/>
    </row>
    <row r="82" spans="1:24" ht="17.25" customHeight="1" x14ac:dyDescent="0.25">
      <c r="A82" s="26" t="s">
        <v>38</v>
      </c>
      <c r="B82" s="68" t="e">
        <f>ROUND(B8/B7,2)</f>
        <v>#N/A</v>
      </c>
      <c r="C82" s="25"/>
      <c r="J82" s="50"/>
    </row>
    <row r="83" spans="1:24" ht="17.25" customHeight="1" x14ac:dyDescent="0.25">
      <c r="A83" s="26" t="s">
        <v>39</v>
      </c>
      <c r="B83" s="68" t="e">
        <f>ROUND(B81/B7,2)</f>
        <v>#N/A</v>
      </c>
      <c r="C83" s="25" t="e">
        <f>IF(B83&gt;B82,"ACIMA DA RECOMENDAÇÃO DO FABRICANTE","")</f>
        <v>#N/A</v>
      </c>
    </row>
    <row r="84" spans="1:24" ht="17.25" customHeight="1" x14ac:dyDescent="0.25">
      <c r="B84" s="68"/>
      <c r="C84" s="25"/>
    </row>
    <row r="85" spans="1:24" ht="17.25" customHeight="1" x14ac:dyDescent="0.25">
      <c r="B85" s="68"/>
      <c r="C85" s="25"/>
    </row>
    <row r="86" spans="1:24" ht="17.25" customHeight="1" x14ac:dyDescent="0.25">
      <c r="A86" s="26" t="s">
        <v>388</v>
      </c>
      <c r="B86" s="89" t="e">
        <f>CONCATENATE(T65,"E/",T67,"S-",T69,"V")</f>
        <v>#NUM!</v>
      </c>
      <c r="C86" s="25"/>
      <c r="D86" s="22" t="s">
        <v>412</v>
      </c>
    </row>
    <row r="87" spans="1:24" s="35" customFormat="1" ht="17.25" customHeight="1" x14ac:dyDescent="0.25">
      <c r="A87" s="88" t="s">
        <v>410</v>
      </c>
      <c r="B87" s="86" t="e">
        <f>HLOOKUP($B$4,INVERSORES!4:25,22,0)</f>
        <v>#N/A</v>
      </c>
      <c r="D87" s="200" t="s">
        <v>155</v>
      </c>
      <c r="N87" s="74"/>
      <c r="X87" s="74"/>
    </row>
    <row r="88" spans="1:24" s="35" customFormat="1" ht="17.25" customHeight="1" x14ac:dyDescent="0.25">
      <c r="A88" s="88"/>
      <c r="B88" s="86" t="s">
        <v>387</v>
      </c>
      <c r="N88" s="74"/>
      <c r="X88" s="74"/>
    </row>
    <row r="89" spans="1:24" s="35" customFormat="1" ht="17.25" customHeight="1" x14ac:dyDescent="0.25">
      <c r="A89" s="88"/>
      <c r="B89" s="86"/>
      <c r="N89" s="74"/>
      <c r="X89" s="74"/>
    </row>
    <row r="90" spans="1:24" s="35" customFormat="1" ht="17.25" customHeight="1" x14ac:dyDescent="0.25">
      <c r="A90" s="88"/>
      <c r="B90" s="189" t="s">
        <v>384</v>
      </c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N90" s="74"/>
      <c r="X90" s="74"/>
    </row>
    <row r="91" spans="1:24" s="35" customFormat="1" ht="17.25" customHeight="1" x14ac:dyDescent="0.25">
      <c r="A91" s="88"/>
      <c r="B91" s="186" t="s">
        <v>392</v>
      </c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N91" s="74"/>
      <c r="X91" s="74"/>
    </row>
    <row r="92" spans="1:24" s="35" customFormat="1" ht="17.25" customHeight="1" x14ac:dyDescent="0.25">
      <c r="A92" s="88"/>
      <c r="B92" s="188" t="s">
        <v>393</v>
      </c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N92" s="74"/>
      <c r="X92" s="74"/>
    </row>
    <row r="93" spans="1:24" s="33" customFormat="1" ht="17.25" customHeight="1" x14ac:dyDescent="0.25">
      <c r="A93" s="46"/>
      <c r="B93" s="190"/>
      <c r="C93" s="190"/>
      <c r="D93" s="191"/>
      <c r="E93" s="187"/>
      <c r="F93" s="187"/>
      <c r="G93" s="187"/>
      <c r="H93" s="187"/>
      <c r="I93" s="187"/>
      <c r="J93" s="187"/>
      <c r="K93" s="187"/>
      <c r="L93" s="187"/>
      <c r="N93" s="73"/>
      <c r="X93" s="73"/>
    </row>
    <row r="94" spans="1:24" s="35" customFormat="1" ht="17.25" customHeight="1" x14ac:dyDescent="0.25">
      <c r="A94" s="26"/>
      <c r="B94" s="69"/>
      <c r="C94" s="69"/>
      <c r="D94" s="52"/>
      <c r="N94" s="74"/>
      <c r="X94" s="74"/>
    </row>
    <row r="95" spans="1:24" s="35" customFormat="1" ht="17.25" customHeight="1" x14ac:dyDescent="0.3">
      <c r="A95" s="23" t="s">
        <v>154</v>
      </c>
      <c r="B95" s="69"/>
      <c r="C95" s="69"/>
      <c r="D95" s="52"/>
      <c r="N95" s="74"/>
      <c r="X95" s="74"/>
    </row>
    <row r="96" spans="1:24" ht="17.25" customHeight="1" x14ac:dyDescent="0.25">
      <c r="A96" s="26" t="s">
        <v>82</v>
      </c>
      <c r="B96" s="10"/>
      <c r="D96" s="22" t="s">
        <v>385</v>
      </c>
    </row>
    <row r="97" spans="1:14" ht="17.25" customHeight="1" x14ac:dyDescent="0.25">
      <c r="A97" s="26" t="s">
        <v>156</v>
      </c>
      <c r="B97" s="95"/>
      <c r="D97" s="183" t="s">
        <v>386</v>
      </c>
    </row>
    <row r="98" spans="1:14" ht="17.25" customHeight="1" x14ac:dyDescent="0.25">
      <c r="A98" s="70" t="s">
        <v>40</v>
      </c>
      <c r="B98" s="53" t="e">
        <f>J59*(B97/100)*B96</f>
        <v>#N/A</v>
      </c>
    </row>
    <row r="99" spans="1:14" ht="17.25" customHeight="1" x14ac:dyDescent="0.25">
      <c r="A99" s="70" t="s">
        <v>41</v>
      </c>
      <c r="B99" s="53" t="e">
        <f>B98*30.41</f>
        <v>#N/A</v>
      </c>
      <c r="J99" s="25"/>
      <c r="K99" s="25"/>
      <c r="L99" s="25"/>
      <c r="M99" s="25"/>
      <c r="N99" s="80"/>
    </row>
    <row r="100" spans="1:14" ht="17.25" customHeight="1" x14ac:dyDescent="0.25">
      <c r="A100" s="70" t="s">
        <v>42</v>
      </c>
      <c r="B100" s="53" t="e">
        <f>B99*12</f>
        <v>#N/A</v>
      </c>
      <c r="J100" s="25"/>
    </row>
    <row r="101" spans="1:14" ht="17.25" customHeight="1" x14ac:dyDescent="0.25">
      <c r="B101" s="199"/>
      <c r="J101" s="25"/>
    </row>
    <row r="102" spans="1:14" ht="17.25" customHeight="1" x14ac:dyDescent="0.25">
      <c r="J102" s="25"/>
    </row>
    <row r="105" spans="1:14" ht="17.25" customHeight="1" x14ac:dyDescent="0.25">
      <c r="J105" s="25"/>
      <c r="K105" s="25"/>
      <c r="L105" s="25"/>
      <c r="M105" s="25"/>
      <c r="N105" s="80"/>
    </row>
    <row r="106" spans="1:14" ht="17.25" customHeight="1" x14ac:dyDescent="0.25">
      <c r="J106" s="25"/>
    </row>
    <row r="107" spans="1:14" ht="17.25" customHeight="1" x14ac:dyDescent="0.25">
      <c r="J107" s="25"/>
    </row>
    <row r="108" spans="1:14" ht="17.25" customHeight="1" x14ac:dyDescent="0.25">
      <c r="J108" s="25"/>
    </row>
    <row r="109" spans="1:14" ht="17.25" customHeight="1" x14ac:dyDescent="0.25">
      <c r="J109" s="25"/>
    </row>
    <row r="110" spans="1:14" ht="17.25" customHeight="1" x14ac:dyDescent="0.25">
      <c r="L110" s="25"/>
      <c r="M110" s="54"/>
      <c r="N110" s="79"/>
    </row>
    <row r="112" spans="1:14" ht="17.25" customHeight="1" x14ac:dyDescent="0.25">
      <c r="L112" s="71"/>
      <c r="M112" s="21"/>
      <c r="N112" s="81"/>
    </row>
    <row r="113" spans="12:14" ht="17.25" customHeight="1" x14ac:dyDescent="0.25">
      <c r="L113" s="71"/>
      <c r="M113" s="21"/>
      <c r="N113" s="81"/>
    </row>
    <row r="114" spans="12:14" ht="17.25" customHeight="1" x14ac:dyDescent="0.25">
      <c r="L114" s="71"/>
      <c r="M114" s="21"/>
      <c r="N114" s="81"/>
    </row>
    <row r="118" spans="12:14" ht="17.25" customHeight="1" x14ac:dyDescent="0.25">
      <c r="M118" s="59"/>
      <c r="N118" s="81"/>
    </row>
    <row r="119" spans="12:14" ht="17.25" customHeight="1" x14ac:dyDescent="0.25">
      <c r="L119" s="25"/>
      <c r="M119" s="54"/>
      <c r="N119" s="79"/>
    </row>
    <row r="120" spans="12:14" ht="17.25" customHeight="1" x14ac:dyDescent="0.25">
      <c r="L120" s="25"/>
      <c r="M120" s="54"/>
      <c r="N120" s="79"/>
    </row>
    <row r="121" spans="12:14" ht="17.25" customHeight="1" x14ac:dyDescent="0.25">
      <c r="L121" s="25"/>
      <c r="M121" s="54"/>
      <c r="N121" s="79"/>
    </row>
    <row r="123" spans="12:14" ht="17.25" customHeight="1" x14ac:dyDescent="0.25">
      <c r="L123" s="71"/>
      <c r="M123" s="21"/>
      <c r="N123" s="82"/>
    </row>
    <row r="124" spans="12:14" ht="17.25" customHeight="1" x14ac:dyDescent="0.25">
      <c r="L124" s="71"/>
      <c r="M124" s="21"/>
      <c r="N124" s="82"/>
    </row>
    <row r="125" spans="12:14" ht="17.25" customHeight="1" x14ac:dyDescent="0.25">
      <c r="L125" s="71"/>
      <c r="M125" s="21"/>
      <c r="N125" s="82"/>
    </row>
  </sheetData>
  <sheetProtection algorithmName="SHA-512" hashValue="+40ignd/PmwEKRywgNk677nouNT1U0Eno2q04308Ld+wCM5vpAtqgPla5afT48doUIyZqvUmxm7uluhNscRfOA==" saltValue="XYWZV7qOcYg1mxXfyyGcHg==" spinCount="100000" sheet="1" objects="1" scenarios="1" selectLockedCells="1"/>
  <mergeCells count="7">
    <mergeCell ref="E1:F2"/>
    <mergeCell ref="B4:C4"/>
    <mergeCell ref="B20:C20"/>
    <mergeCell ref="E9:L11"/>
    <mergeCell ref="E12:L14"/>
    <mergeCell ref="E15:L17"/>
    <mergeCell ref="E3:L8"/>
  </mergeCells>
  <phoneticPr fontId="6" type="noConversion"/>
  <conditionalFormatting sqref="C80">
    <cfRule type="containsText" dxfId="28" priority="33" operator="containsText" text="NÚMERO NÃO-INTEIRO DE MÓDULOS">
      <formula>NOT(ISERROR(SEARCH("NÚMERO NÃO-INTEIRO DE MÓDULOS",C80)))</formula>
    </cfRule>
  </conditionalFormatting>
  <conditionalFormatting sqref="H65 I58:I59 H69:H79 G54 H53">
    <cfRule type="containsText" dxfId="27" priority="32" operator="containsText" text="ACIMA DA CAPACIDADE DO INVERSOR (PREENCHIMENTO INCORRETO)">
      <formula>NOT(ISERROR(SEARCH("ACIMA DA CAPACIDADE DO INVERSOR (PREENCHIMENTO INCORRETO)",G53)))</formula>
    </cfRule>
  </conditionalFormatting>
  <conditionalFormatting sqref="C81:C82">
    <cfRule type="containsText" dxfId="26" priority="31" operator="containsText" text="TENSÃO ACIMA DA FAIXA DO MPPT">
      <formula>NOT(ISERROR(SEARCH("TENSÃO ACIMA DA FAIXA DO MPPT",C81)))</formula>
    </cfRule>
  </conditionalFormatting>
  <conditionalFormatting sqref="C80:C86 B72:G72 G54 H53 B75:G76 B79:G79 C77:G78 M78">
    <cfRule type="containsText" dxfId="25" priority="30" operator="containsText" text="OK">
      <formula>NOT(ISERROR(SEARCH("OK",B53)))</formula>
    </cfRule>
  </conditionalFormatting>
  <conditionalFormatting sqref="B72:G72 B69:G70 B75:G76 B79:G79 C77:G78 M78">
    <cfRule type="containsText" dxfId="24" priority="29" operator="containsText" text="ERRO">
      <formula>NOT(ISERROR(SEARCH("ERRO",B69)))</formula>
    </cfRule>
  </conditionalFormatting>
  <conditionalFormatting sqref="B69:G70">
    <cfRule type="containsText" dxfId="23" priority="28" operator="containsText" text="OK">
      <formula>NOT(ISERROR(SEARCH("OK",B69)))</formula>
    </cfRule>
  </conditionalFormatting>
  <conditionalFormatting sqref="B72:G72 B69:G70 B75:G76 B79:G79 C77:G78 M78">
    <cfRule type="containsText" dxfId="22" priority="27" operator="containsText" text="ACIMA">
      <formula>NOT(ISERROR(SEARCH("ACIMA",B69)))</formula>
    </cfRule>
  </conditionalFormatting>
  <conditionalFormatting sqref="C83:C86">
    <cfRule type="containsText" dxfId="21" priority="26" operator="containsText" text="ACIMA DA RECOMENDAÇÃO DO FABRICANTE">
      <formula>NOT(ISERROR(SEARCH("ACIMA DA RECOMENDAÇÃO DO FABRICANTE",C83)))</formula>
    </cfRule>
  </conditionalFormatting>
  <conditionalFormatting sqref="G54 H53">
    <cfRule type="containsText" dxfId="20" priority="25" operator="containsText" text="QUANTIDADE DE MPPTs ACIMA DA CAPACIDADE DO INVERSOR">
      <formula>NOT(ISERROR(SEARCH("QUANTIDADE DE MPPTs ACIMA DA CAPACIDADE DO INVERSOR",G53)))</formula>
    </cfRule>
  </conditionalFormatting>
  <conditionalFormatting sqref="B61:G61">
    <cfRule type="containsText" dxfId="19" priority="23" operator="containsText" text="erro">
      <formula>NOT(ISERROR(SEARCH("erro",B61)))</formula>
    </cfRule>
    <cfRule type="containsText" dxfId="18" priority="24" operator="containsText" text="ok">
      <formula>NOT(ISERROR(SEARCH("ok",B61)))</formula>
    </cfRule>
  </conditionalFormatting>
  <conditionalFormatting sqref="H61 H54">
    <cfRule type="containsText" dxfId="17" priority="22" operator="containsText" text="STRING">
      <formula>NOT(ISERROR(SEARCH("STRING",H54)))</formula>
    </cfRule>
  </conditionalFormatting>
  <conditionalFormatting sqref="B60:G60">
    <cfRule type="containsText" dxfId="16" priority="20" operator="containsText" text="OK">
      <formula>NOT(ISERROR(SEARCH("OK",B60)))</formula>
    </cfRule>
    <cfRule type="containsText" dxfId="15" priority="21" operator="containsText" text="acima">
      <formula>NOT(ISERROR(SEARCH("acima",B60)))</formula>
    </cfRule>
  </conditionalFormatting>
  <conditionalFormatting sqref="B70:G70">
    <cfRule type="containsText" dxfId="14" priority="19" operator="containsText" text="mod">
      <formula>NOT(ISERROR(SEARCH("mod",B70)))</formula>
    </cfRule>
  </conditionalFormatting>
  <conditionalFormatting sqref="C24:C26">
    <cfRule type="containsText" dxfId="13" priority="18" operator="containsText" text="menor">
      <formula>NOT(ISERROR(SEARCH("menor",C24)))</formula>
    </cfRule>
  </conditionalFormatting>
  <conditionalFormatting sqref="B74:G74">
    <cfRule type="containsText" dxfId="12" priority="8" operator="containsText" text="obs">
      <formula>NOT(ISERROR(SEARCH("obs",B74)))</formula>
    </cfRule>
    <cfRule type="containsText" dxfId="11" priority="16" operator="containsText" text="ACIMA">
      <formula>NOT(ISERROR(SEARCH("ACIMA",B74)))</formula>
    </cfRule>
    <cfRule type="containsText" dxfId="10" priority="17" operator="containsText" text="OK">
      <formula>NOT(ISERROR(SEARCH("OK",B74)))</formula>
    </cfRule>
  </conditionalFormatting>
  <conditionalFormatting sqref="K60">
    <cfRule type="containsText" dxfId="9" priority="13" operator="containsText" text="DENTRO">
      <formula>NOT(ISERROR(SEARCH("DENTRO",K60)))</formula>
    </cfRule>
    <cfRule type="containsText" dxfId="8" priority="14" operator="containsText" text="ACIMA">
      <formula>NOT(ISERROR(SEARCH("ACIMA",K60)))</formula>
    </cfRule>
  </conditionalFormatting>
  <conditionalFormatting sqref="B66:G66">
    <cfRule type="containsText" dxfId="7" priority="10" operator="containsText" text="ACIMA">
      <formula>NOT(ISERROR(SEARCH("ACIMA",B66)))</formula>
    </cfRule>
    <cfRule type="containsText" dxfId="6" priority="11" operator="containsText" text="OK">
      <formula>NOT(ISERROR(SEARCH("OK",B66)))</formula>
    </cfRule>
    <cfRule type="containsText" dxfId="5" priority="12" operator="containsText" text="OK">
      <formula>NOT(ISERROR(SEARCH("OK",B66)))</formula>
    </cfRule>
  </conditionalFormatting>
  <conditionalFormatting sqref="B77">
    <cfRule type="containsText" dxfId="4" priority="7" operator="containsText" text="OK">
      <formula>NOT(ISERROR(SEARCH("OK",B77)))</formula>
    </cfRule>
  </conditionalFormatting>
  <conditionalFormatting sqref="B77">
    <cfRule type="containsText" dxfId="3" priority="6" operator="containsText" text="ERRO">
      <formula>NOT(ISERROR(SEARCH("ERRO",B77)))</formula>
    </cfRule>
  </conditionalFormatting>
  <conditionalFormatting sqref="B77">
    <cfRule type="containsText" dxfId="2" priority="5" operator="containsText" text="ACIMA">
      <formula>NOT(ISERROR(SEARCH("ACIMA",B77)))</formula>
    </cfRule>
  </conditionalFormatting>
  <conditionalFormatting sqref="M61">
    <cfRule type="containsText" dxfId="1" priority="1" operator="containsText" text="POSSÍVEL">
      <formula>NOT(ISERROR(SEARCH("POSSÍVEL",M61)))</formula>
    </cfRule>
  </conditionalFormatting>
  <hyperlinks>
    <hyperlink ref="D97" r:id="rId1" xr:uid="{E87A30EC-6A05-4C4B-A8C3-02A229776D92}"/>
  </hyperlinks>
  <pageMargins left="0.511811024" right="0.511811024" top="0.78740157499999996" bottom="0.78740157499999996" header="0.31496062000000002" footer="0.31496062000000002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077ACE61-7B2E-484F-8A46-E242BD964A55}">
            <xm:f>NOT(ISERROR(SEARCH("+",B69)))</xm:f>
            <xm:f>"+"</xm:f>
            <x14:dxf>
              <font>
                <color rgb="FF9C0006"/>
              </font>
            </x14:dxf>
          </x14:cfRule>
          <xm:sqref>B69:G69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15924B-BD52-4CE0-A14E-CC306D0866BB}">
          <x14:formula1>
            <xm:f>MÓDULOS!$C$6:$I$6</xm:f>
          </x14:formula1>
          <xm:sqref>B20:C20</xm:sqref>
        </x14:dataValidation>
        <x14:dataValidation type="list" allowBlank="1" showInputMessage="1" showErrorMessage="1" xr:uid="{14CE6FDA-EC72-4481-BE19-77D034564846}">
          <x14:formula1>
            <xm:f>INVERSORES!$AB$4:$BE$4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3B328-751F-49B2-9E8A-871186735C2E}">
  <sheetPr codeName="Planilha2"/>
  <dimension ref="A1:BJ33"/>
  <sheetViews>
    <sheetView workbookViewId="0">
      <pane xSplit="1" topLeftCell="B1" activePane="topRight" state="frozen"/>
      <selection pane="topRight" activeCell="B8" sqref="B8"/>
    </sheetView>
  </sheetViews>
  <sheetFormatPr defaultColWidth="15" defaultRowHeight="15" x14ac:dyDescent="0.25"/>
  <cols>
    <col min="1" max="1" width="34.28515625" customWidth="1"/>
    <col min="2" max="2" width="15" customWidth="1"/>
    <col min="50" max="50" width="15" customWidth="1"/>
  </cols>
  <sheetData>
    <row r="1" spans="1:62" s="16" customFormat="1" x14ac:dyDescent="0.25"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3"/>
      <c r="AM1" s="15"/>
      <c r="AN1" s="15"/>
      <c r="AO1" s="15"/>
      <c r="AP1" s="15"/>
      <c r="AQ1" s="15"/>
      <c r="AR1" s="15"/>
      <c r="AS1" s="15"/>
      <c r="AT1" s="15"/>
      <c r="AU1" s="15"/>
      <c r="AV1" s="15"/>
      <c r="BI1" s="15"/>
    </row>
    <row r="2" spans="1:62" ht="15" customHeight="1" x14ac:dyDescent="0.25">
      <c r="A2" s="92"/>
      <c r="B2" s="92"/>
      <c r="AB2" s="5"/>
      <c r="AC2" s="5"/>
      <c r="AD2" s="5"/>
      <c r="AE2" s="5"/>
      <c r="AF2" s="5"/>
      <c r="AG2" s="5"/>
      <c r="AH2" s="5"/>
      <c r="AI2" s="5"/>
      <c r="AJ2" s="5"/>
      <c r="AK2" s="5"/>
      <c r="AL2" s="13"/>
      <c r="AM2" s="5"/>
      <c r="AN2" s="5"/>
      <c r="AO2" s="5"/>
      <c r="AP2" s="5"/>
      <c r="AQ2" s="5"/>
      <c r="AR2" s="5"/>
      <c r="AS2" s="5"/>
      <c r="AT2" s="5"/>
      <c r="AU2" s="5"/>
      <c r="AV2" s="5"/>
      <c r="BI2" s="5"/>
    </row>
    <row r="3" spans="1:62" ht="15" customHeight="1" x14ac:dyDescent="0.25">
      <c r="A3" s="92"/>
      <c r="B3" s="142" t="s">
        <v>236</v>
      </c>
      <c r="AL3" s="184"/>
      <c r="BH3" t="s">
        <v>344</v>
      </c>
    </row>
    <row r="4" spans="1:62" x14ac:dyDescent="0.25">
      <c r="A4" s="7" t="s">
        <v>76</v>
      </c>
      <c r="B4" s="143" t="s">
        <v>237</v>
      </c>
      <c r="C4" s="7" t="s">
        <v>66</v>
      </c>
      <c r="D4" s="7" t="s">
        <v>67</v>
      </c>
      <c r="E4" s="7" t="s">
        <v>68</v>
      </c>
      <c r="F4" s="7" t="s">
        <v>69</v>
      </c>
      <c r="G4" s="7" t="s">
        <v>70</v>
      </c>
      <c r="H4" s="7" t="s">
        <v>71</v>
      </c>
      <c r="I4" s="7" t="s">
        <v>72</v>
      </c>
      <c r="J4" s="7" t="s">
        <v>43</v>
      </c>
      <c r="K4" s="7" t="s">
        <v>44</v>
      </c>
      <c r="L4" s="7" t="s">
        <v>45</v>
      </c>
      <c r="M4" s="7" t="s">
        <v>46</v>
      </c>
      <c r="N4" s="7" t="s">
        <v>47</v>
      </c>
      <c r="O4" s="7" t="s">
        <v>48</v>
      </c>
      <c r="P4" s="7" t="s">
        <v>49</v>
      </c>
      <c r="Q4" s="7" t="s">
        <v>50</v>
      </c>
      <c r="R4" s="7" t="s">
        <v>51</v>
      </c>
      <c r="S4" s="7" t="s">
        <v>52</v>
      </c>
      <c r="T4" s="7" t="s">
        <v>53</v>
      </c>
      <c r="U4" s="7" t="s">
        <v>54</v>
      </c>
      <c r="V4" s="7" t="s">
        <v>55</v>
      </c>
      <c r="W4" s="7" t="s">
        <v>56</v>
      </c>
      <c r="X4" s="7" t="s">
        <v>57</v>
      </c>
      <c r="Y4" s="7" t="s">
        <v>58</v>
      </c>
      <c r="Z4" s="7" t="s">
        <v>59</v>
      </c>
      <c r="AA4" s="7" t="s">
        <v>60</v>
      </c>
      <c r="AB4" s="13" t="s">
        <v>249</v>
      </c>
      <c r="AC4" s="13" t="s">
        <v>246</v>
      </c>
      <c r="AD4" s="13" t="s">
        <v>247</v>
      </c>
      <c r="AE4" s="13" t="s">
        <v>248</v>
      </c>
      <c r="AF4" s="7" t="s">
        <v>244</v>
      </c>
      <c r="AG4" s="7" t="s">
        <v>98</v>
      </c>
      <c r="AH4" s="7" t="s">
        <v>99</v>
      </c>
      <c r="AI4" s="7" t="s">
        <v>391</v>
      </c>
      <c r="AJ4" s="7" t="s">
        <v>316</v>
      </c>
      <c r="AK4" s="7" t="s">
        <v>110</v>
      </c>
      <c r="AL4" s="7" t="s">
        <v>314</v>
      </c>
      <c r="AM4" s="7" t="s">
        <v>74</v>
      </c>
      <c r="AN4" s="7" t="s">
        <v>343</v>
      </c>
      <c r="AO4" s="7" t="s">
        <v>83</v>
      </c>
      <c r="AP4" s="7" t="s">
        <v>0</v>
      </c>
      <c r="AQ4" s="7" t="s">
        <v>277</v>
      </c>
      <c r="AR4" s="7" t="s">
        <v>341</v>
      </c>
      <c r="AS4" s="7" t="s">
        <v>340</v>
      </c>
      <c r="AT4" s="14" t="s">
        <v>243</v>
      </c>
      <c r="AU4" s="14" t="s">
        <v>101</v>
      </c>
      <c r="AV4" s="14" t="s">
        <v>102</v>
      </c>
      <c r="AW4" s="14" t="s">
        <v>103</v>
      </c>
      <c r="AX4" s="14" t="s">
        <v>104</v>
      </c>
      <c r="AY4" s="14" t="s">
        <v>105</v>
      </c>
      <c r="AZ4" s="14" t="s">
        <v>107</v>
      </c>
      <c r="BA4" s="14" t="s">
        <v>325</v>
      </c>
      <c r="BB4" s="14" t="s">
        <v>315</v>
      </c>
      <c r="BC4" s="20" t="s">
        <v>328</v>
      </c>
      <c r="BD4" s="20" t="s">
        <v>329</v>
      </c>
      <c r="BE4" s="20" t="s">
        <v>327</v>
      </c>
      <c r="BF4" s="20" t="s">
        <v>326</v>
      </c>
      <c r="BH4" s="14" t="s">
        <v>106</v>
      </c>
      <c r="BI4" s="7" t="s">
        <v>73</v>
      </c>
      <c r="BJ4" s="7" t="s">
        <v>100</v>
      </c>
    </row>
    <row r="5" spans="1:62" s="16" customFormat="1" x14ac:dyDescent="0.25">
      <c r="A5" s="15" t="s">
        <v>65</v>
      </c>
      <c r="B5" s="144"/>
      <c r="C5" s="15">
        <v>1</v>
      </c>
      <c r="D5" s="15">
        <v>2</v>
      </c>
      <c r="E5" s="15">
        <v>3</v>
      </c>
      <c r="F5" s="15">
        <v>5</v>
      </c>
      <c r="G5" s="15">
        <v>10.1</v>
      </c>
      <c r="H5" s="15">
        <v>12</v>
      </c>
      <c r="I5" s="15">
        <v>15</v>
      </c>
      <c r="J5" s="15">
        <v>2</v>
      </c>
      <c r="K5" s="15">
        <v>3</v>
      </c>
      <c r="L5" s="15">
        <v>4</v>
      </c>
      <c r="M5" s="15">
        <v>5</v>
      </c>
      <c r="N5" s="15">
        <v>7</v>
      </c>
      <c r="O5" s="15">
        <v>10</v>
      </c>
      <c r="P5" s="15">
        <v>10</v>
      </c>
      <c r="Q5" s="15">
        <v>10</v>
      </c>
      <c r="R5" s="15">
        <v>15</v>
      </c>
      <c r="S5" s="15">
        <v>15</v>
      </c>
      <c r="T5" s="15">
        <v>20</v>
      </c>
      <c r="U5" s="15">
        <v>20</v>
      </c>
      <c r="V5" s="15">
        <v>25</v>
      </c>
      <c r="W5" s="15">
        <v>25</v>
      </c>
      <c r="X5" s="15">
        <v>30</v>
      </c>
      <c r="Y5" s="15">
        <v>40</v>
      </c>
      <c r="Z5" s="15">
        <v>50</v>
      </c>
      <c r="AA5" s="15">
        <v>60</v>
      </c>
      <c r="AB5" s="15">
        <v>3</v>
      </c>
      <c r="AC5" s="15">
        <v>5</v>
      </c>
      <c r="AD5" s="15">
        <v>8</v>
      </c>
      <c r="AE5" s="15">
        <v>10</v>
      </c>
      <c r="AF5" s="15">
        <v>10</v>
      </c>
      <c r="AG5" s="15">
        <v>12</v>
      </c>
      <c r="AH5" s="15">
        <v>15</v>
      </c>
      <c r="AI5" s="15">
        <v>20</v>
      </c>
      <c r="AJ5" s="15">
        <v>25</v>
      </c>
      <c r="AK5" s="15">
        <v>30</v>
      </c>
      <c r="AL5" s="15">
        <v>35</v>
      </c>
      <c r="AM5" s="15">
        <v>40</v>
      </c>
      <c r="AN5" s="15">
        <v>50</v>
      </c>
      <c r="AO5" s="15">
        <v>60</v>
      </c>
      <c r="AP5" s="15">
        <v>75</v>
      </c>
      <c r="AQ5" s="15">
        <v>75</v>
      </c>
      <c r="AR5" s="15">
        <v>75</v>
      </c>
      <c r="AS5" s="15">
        <v>100</v>
      </c>
      <c r="AT5" s="15">
        <v>10</v>
      </c>
      <c r="AU5" s="15">
        <v>12</v>
      </c>
      <c r="AV5" s="15">
        <v>15</v>
      </c>
      <c r="AW5" s="15">
        <v>20</v>
      </c>
      <c r="AX5" s="15">
        <v>25</v>
      </c>
      <c r="AY5" s="15">
        <v>30</v>
      </c>
      <c r="AZ5" s="15">
        <v>35</v>
      </c>
      <c r="BA5" s="15">
        <v>40</v>
      </c>
      <c r="BB5" s="15">
        <v>50</v>
      </c>
      <c r="BC5" s="15">
        <v>3.6</v>
      </c>
      <c r="BD5" s="15">
        <v>5</v>
      </c>
      <c r="BE5" s="15">
        <v>8</v>
      </c>
      <c r="BF5" s="15">
        <v>8</v>
      </c>
      <c r="BH5" s="15">
        <v>33</v>
      </c>
      <c r="BI5" s="15">
        <v>33</v>
      </c>
      <c r="BJ5" s="15">
        <v>18</v>
      </c>
    </row>
    <row r="6" spans="1:62" x14ac:dyDescent="0.25">
      <c r="A6" t="s">
        <v>61</v>
      </c>
      <c r="B6" s="144"/>
      <c r="C6" s="5">
        <v>1.1000000000000001</v>
      </c>
      <c r="D6" s="5">
        <v>2.2000000000000002</v>
      </c>
      <c r="E6" s="5">
        <v>3</v>
      </c>
      <c r="F6" s="5">
        <v>6.5</v>
      </c>
      <c r="G6" s="5">
        <v>13</v>
      </c>
      <c r="H6" s="5">
        <v>15.6</v>
      </c>
      <c r="I6" s="5">
        <v>19.5</v>
      </c>
      <c r="J6" s="5">
        <v>2.2999999999999998</v>
      </c>
      <c r="K6" s="5">
        <v>3.5</v>
      </c>
      <c r="L6" s="5">
        <v>4.5999999999999996</v>
      </c>
      <c r="M6" s="5">
        <v>5.8</v>
      </c>
      <c r="N6" s="5">
        <v>8</v>
      </c>
      <c r="O6" s="5">
        <v>11.5</v>
      </c>
      <c r="P6" s="5">
        <v>12</v>
      </c>
      <c r="Q6" s="5">
        <v>11.5</v>
      </c>
      <c r="R6" s="5">
        <v>18</v>
      </c>
      <c r="S6" s="5">
        <v>18</v>
      </c>
      <c r="T6" s="5">
        <v>24</v>
      </c>
      <c r="U6" s="5">
        <v>24</v>
      </c>
      <c r="V6" s="5">
        <v>30</v>
      </c>
      <c r="W6" s="5">
        <v>30</v>
      </c>
      <c r="X6" s="5">
        <v>36</v>
      </c>
      <c r="Y6" s="5">
        <v>48</v>
      </c>
      <c r="Z6" s="5">
        <v>60</v>
      </c>
      <c r="AA6" s="5">
        <v>72</v>
      </c>
      <c r="AB6" s="5">
        <v>3.6</v>
      </c>
      <c r="AC6" s="5">
        <v>6.5</v>
      </c>
      <c r="AD6" s="5">
        <v>10.4</v>
      </c>
      <c r="AE6" s="15">
        <v>13</v>
      </c>
      <c r="AF6" s="15">
        <v>13</v>
      </c>
      <c r="AG6" s="5">
        <v>15.6</v>
      </c>
      <c r="AH6" s="5">
        <v>18</v>
      </c>
      <c r="AI6" s="5">
        <v>26</v>
      </c>
      <c r="AJ6" s="5">
        <v>32.5</v>
      </c>
      <c r="AK6" s="5">
        <v>36</v>
      </c>
      <c r="AL6" s="5">
        <v>45.5</v>
      </c>
      <c r="AM6" s="5">
        <v>52</v>
      </c>
      <c r="AN6" s="5">
        <v>65</v>
      </c>
      <c r="AO6" s="5">
        <v>78</v>
      </c>
      <c r="AP6" s="5">
        <v>97.5</v>
      </c>
      <c r="AQ6" s="5">
        <v>112.5</v>
      </c>
      <c r="AR6" s="5">
        <v>150</v>
      </c>
      <c r="AS6" s="15">
        <v>150</v>
      </c>
      <c r="AT6" s="15">
        <v>13</v>
      </c>
      <c r="AU6" s="5">
        <f>AU5*1.3</f>
        <v>15.600000000000001</v>
      </c>
      <c r="AV6" s="5">
        <f t="shared" ref="AV6:BB6" si="0">AV5*1.3</f>
        <v>19.5</v>
      </c>
      <c r="AW6" s="5">
        <f t="shared" si="0"/>
        <v>26</v>
      </c>
      <c r="AX6" s="5">
        <f t="shared" si="0"/>
        <v>32.5</v>
      </c>
      <c r="AY6" s="5">
        <f t="shared" si="0"/>
        <v>39</v>
      </c>
      <c r="AZ6" s="5">
        <f t="shared" si="0"/>
        <v>45.5</v>
      </c>
      <c r="BA6" s="5">
        <f t="shared" si="0"/>
        <v>52</v>
      </c>
      <c r="BB6" s="5">
        <f t="shared" si="0"/>
        <v>65</v>
      </c>
      <c r="BC6" s="5">
        <v>4.68</v>
      </c>
      <c r="BD6" s="5">
        <v>6.5</v>
      </c>
      <c r="BE6" s="5">
        <v>10.4</v>
      </c>
      <c r="BF6" s="5">
        <v>10.4</v>
      </c>
      <c r="BH6" s="5">
        <f>BH5*1.3</f>
        <v>42.9</v>
      </c>
      <c r="BI6" s="5">
        <v>36</v>
      </c>
      <c r="BJ6" s="5">
        <v>21.6</v>
      </c>
    </row>
    <row r="7" spans="1:62" x14ac:dyDescent="0.25">
      <c r="A7" t="s">
        <v>62</v>
      </c>
      <c r="B7" s="144"/>
      <c r="C7" s="5">
        <v>320</v>
      </c>
      <c r="D7" s="5">
        <v>480</v>
      </c>
      <c r="E7" s="5">
        <v>480</v>
      </c>
      <c r="F7" s="5">
        <v>600</v>
      </c>
      <c r="G7" s="5">
        <v>1000</v>
      </c>
      <c r="H7" s="5">
        <v>1000</v>
      </c>
      <c r="I7" s="5">
        <v>1000</v>
      </c>
      <c r="J7" s="5">
        <v>600</v>
      </c>
      <c r="K7" s="5">
        <v>600</v>
      </c>
      <c r="L7" s="5">
        <v>600</v>
      </c>
      <c r="M7" s="5">
        <v>600</v>
      </c>
      <c r="N7" s="5">
        <v>600</v>
      </c>
      <c r="O7" s="5">
        <v>600</v>
      </c>
      <c r="P7" s="5">
        <v>600</v>
      </c>
      <c r="Q7" s="5">
        <v>600</v>
      </c>
      <c r="R7" s="5">
        <v>1000</v>
      </c>
      <c r="S7" s="5">
        <v>1000</v>
      </c>
      <c r="T7" s="5">
        <v>1000</v>
      </c>
      <c r="U7" s="5">
        <v>1000</v>
      </c>
      <c r="V7" s="5">
        <v>1100</v>
      </c>
      <c r="W7" s="5">
        <v>1000</v>
      </c>
      <c r="X7" s="5">
        <v>1000</v>
      </c>
      <c r="Y7" s="5">
        <v>1100</v>
      </c>
      <c r="Z7" s="5">
        <v>1100</v>
      </c>
      <c r="AA7" s="5">
        <v>1100</v>
      </c>
      <c r="AB7" s="5">
        <v>550</v>
      </c>
      <c r="AC7" s="5">
        <v>550</v>
      </c>
      <c r="AD7" s="5">
        <v>550</v>
      </c>
      <c r="AE7" s="15">
        <v>550</v>
      </c>
      <c r="AF7" s="15">
        <v>1000</v>
      </c>
      <c r="AG7" s="5">
        <v>1000</v>
      </c>
      <c r="AH7" s="5">
        <v>1000</v>
      </c>
      <c r="AI7" s="5">
        <v>1000</v>
      </c>
      <c r="AJ7" s="5">
        <v>1000</v>
      </c>
      <c r="AK7" s="5">
        <v>1000</v>
      </c>
      <c r="AL7" s="5">
        <v>1000</v>
      </c>
      <c r="AM7" s="5">
        <v>1000</v>
      </c>
      <c r="AN7" s="5">
        <v>1000</v>
      </c>
      <c r="AO7" s="5">
        <v>1000</v>
      </c>
      <c r="AP7" s="5">
        <v>1000</v>
      </c>
      <c r="AQ7" s="5">
        <v>1000</v>
      </c>
      <c r="AR7" s="5">
        <v>1000</v>
      </c>
      <c r="AS7" s="15">
        <v>1000</v>
      </c>
      <c r="AT7" s="15">
        <v>800</v>
      </c>
      <c r="AU7" s="5">
        <v>800</v>
      </c>
      <c r="AV7" s="5">
        <v>800</v>
      </c>
      <c r="AW7" s="5">
        <v>800</v>
      </c>
      <c r="AX7" s="5">
        <v>800</v>
      </c>
      <c r="AY7" s="5">
        <v>800</v>
      </c>
      <c r="AZ7" s="5">
        <v>800</v>
      </c>
      <c r="BA7" s="5">
        <v>800</v>
      </c>
      <c r="BB7" s="5">
        <v>800</v>
      </c>
      <c r="BC7" s="5">
        <v>500</v>
      </c>
      <c r="BD7" s="5">
        <v>500</v>
      </c>
      <c r="BE7" s="5">
        <v>500</v>
      </c>
      <c r="BF7" s="5">
        <v>500</v>
      </c>
      <c r="BH7" s="5">
        <v>800</v>
      </c>
      <c r="BI7" s="5">
        <v>1000</v>
      </c>
      <c r="BJ7" s="5">
        <v>1000</v>
      </c>
    </row>
    <row r="8" spans="1:62" x14ac:dyDescent="0.25">
      <c r="A8" t="s">
        <v>63</v>
      </c>
      <c r="B8" s="144"/>
      <c r="C8" s="5">
        <v>45</v>
      </c>
      <c r="D8" s="5">
        <v>45</v>
      </c>
      <c r="E8" s="5">
        <v>45</v>
      </c>
      <c r="F8" s="5">
        <v>90</v>
      </c>
      <c r="G8" s="5">
        <v>200</v>
      </c>
      <c r="H8" s="5">
        <v>200</v>
      </c>
      <c r="I8" s="5">
        <v>200</v>
      </c>
      <c r="J8" s="5">
        <v>90</v>
      </c>
      <c r="K8" s="5">
        <v>90</v>
      </c>
      <c r="L8" s="5">
        <v>120</v>
      </c>
      <c r="M8" s="5">
        <v>120</v>
      </c>
      <c r="N8" s="5">
        <v>120</v>
      </c>
      <c r="O8" s="5">
        <v>120</v>
      </c>
      <c r="P8" s="5">
        <v>180</v>
      </c>
      <c r="Q8" s="5">
        <v>120</v>
      </c>
      <c r="R8" s="5">
        <v>350</v>
      </c>
      <c r="S8" s="5">
        <v>180</v>
      </c>
      <c r="T8" s="5">
        <v>350</v>
      </c>
      <c r="U8" s="5">
        <v>180</v>
      </c>
      <c r="V8" s="5">
        <v>200</v>
      </c>
      <c r="W8" s="5">
        <v>350</v>
      </c>
      <c r="X8" s="5">
        <v>350</v>
      </c>
      <c r="Y8" s="5">
        <v>200</v>
      </c>
      <c r="Z8" s="5">
        <v>200</v>
      </c>
      <c r="AA8" s="5">
        <v>200</v>
      </c>
      <c r="AB8" s="5">
        <v>80</v>
      </c>
      <c r="AC8" s="5">
        <v>80</v>
      </c>
      <c r="AD8" s="5">
        <v>80</v>
      </c>
      <c r="AE8" s="15">
        <v>80</v>
      </c>
      <c r="AF8" s="15">
        <v>140</v>
      </c>
      <c r="AG8" s="5">
        <v>250</v>
      </c>
      <c r="AH8" s="5">
        <v>250</v>
      </c>
      <c r="AI8" s="5">
        <v>250</v>
      </c>
      <c r="AJ8" s="5">
        <v>250</v>
      </c>
      <c r="AK8" s="5">
        <v>250</v>
      </c>
      <c r="AL8" s="5">
        <v>250</v>
      </c>
      <c r="AM8" s="5">
        <v>250</v>
      </c>
      <c r="AN8" s="5">
        <v>250</v>
      </c>
      <c r="AO8" s="5">
        <v>250</v>
      </c>
      <c r="AP8" s="5">
        <v>250</v>
      </c>
      <c r="AQ8" s="5">
        <v>250</v>
      </c>
      <c r="AR8" s="5">
        <v>250</v>
      </c>
      <c r="AS8" s="15">
        <v>250</v>
      </c>
      <c r="AT8" s="15">
        <v>250</v>
      </c>
      <c r="AU8" s="5">
        <v>250</v>
      </c>
      <c r="AV8" s="5">
        <v>250</v>
      </c>
      <c r="AW8" s="5">
        <v>250</v>
      </c>
      <c r="AX8" s="5">
        <v>250</v>
      </c>
      <c r="AY8" s="5">
        <v>250</v>
      </c>
      <c r="AZ8" s="5">
        <v>250</v>
      </c>
      <c r="BA8" s="5">
        <v>250</v>
      </c>
      <c r="BB8" s="5">
        <v>250</v>
      </c>
      <c r="BC8" s="5">
        <v>150</v>
      </c>
      <c r="BD8" s="5">
        <v>150</v>
      </c>
      <c r="BE8" s="5">
        <v>150</v>
      </c>
      <c r="BF8" s="5">
        <v>150</v>
      </c>
      <c r="BH8" s="5">
        <v>250</v>
      </c>
      <c r="BI8" s="5">
        <v>250</v>
      </c>
      <c r="BJ8" s="5">
        <v>250</v>
      </c>
    </row>
    <row r="9" spans="1:62" x14ac:dyDescent="0.25">
      <c r="A9" t="s">
        <v>91</v>
      </c>
      <c r="B9" s="1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v>70</v>
      </c>
      <c r="AC9" s="5">
        <v>70</v>
      </c>
      <c r="AD9" s="5">
        <v>70</v>
      </c>
      <c r="AE9" s="15">
        <v>70</v>
      </c>
      <c r="AF9" s="15">
        <v>120</v>
      </c>
      <c r="AG9" s="5">
        <v>200</v>
      </c>
      <c r="AH9" s="5">
        <v>200</v>
      </c>
      <c r="AI9" s="5">
        <v>200</v>
      </c>
      <c r="AJ9" s="5">
        <v>200</v>
      </c>
      <c r="AK9" s="5">
        <v>200</v>
      </c>
      <c r="AL9" s="5">
        <v>200</v>
      </c>
      <c r="AM9" s="5">
        <v>200</v>
      </c>
      <c r="AN9" s="5">
        <v>200</v>
      </c>
      <c r="AO9" s="5">
        <v>200</v>
      </c>
      <c r="AP9" s="5">
        <v>200</v>
      </c>
      <c r="AQ9" s="5">
        <v>200</v>
      </c>
      <c r="AR9" s="5">
        <v>200</v>
      </c>
      <c r="AS9" s="15">
        <v>200</v>
      </c>
      <c r="AT9" s="15">
        <v>200</v>
      </c>
      <c r="AU9" s="5">
        <v>200</v>
      </c>
      <c r="AV9" s="5">
        <v>200</v>
      </c>
      <c r="AW9" s="5">
        <v>200</v>
      </c>
      <c r="AX9" s="5">
        <v>200</v>
      </c>
      <c r="AY9" s="5">
        <v>200</v>
      </c>
      <c r="AZ9" s="5">
        <v>200</v>
      </c>
      <c r="BA9" s="5">
        <v>200</v>
      </c>
      <c r="BB9" s="5">
        <v>200</v>
      </c>
      <c r="BC9" s="5">
        <v>125</v>
      </c>
      <c r="BD9" s="5">
        <v>125</v>
      </c>
      <c r="BE9" s="5">
        <v>125</v>
      </c>
      <c r="BF9" s="5">
        <v>125</v>
      </c>
      <c r="BH9" s="5">
        <v>200</v>
      </c>
      <c r="BI9" s="5">
        <v>200</v>
      </c>
      <c r="BJ9" s="5">
        <v>200</v>
      </c>
    </row>
    <row r="10" spans="1:62" x14ac:dyDescent="0.25">
      <c r="A10" t="s">
        <v>75</v>
      </c>
      <c r="B10" s="144"/>
      <c r="C10" s="5">
        <v>320</v>
      </c>
      <c r="D10" s="5">
        <v>380</v>
      </c>
      <c r="E10" s="5">
        <v>380</v>
      </c>
      <c r="F10" s="5">
        <v>580</v>
      </c>
      <c r="G10" s="5">
        <v>950</v>
      </c>
      <c r="H10" s="5">
        <v>950</v>
      </c>
      <c r="I10" s="5">
        <v>950</v>
      </c>
      <c r="J10" s="5">
        <v>500</v>
      </c>
      <c r="K10" s="5">
        <v>500</v>
      </c>
      <c r="L10" s="5">
        <v>520</v>
      </c>
      <c r="M10" s="5">
        <v>520</v>
      </c>
      <c r="N10" s="5">
        <v>500</v>
      </c>
      <c r="O10" s="5">
        <v>500</v>
      </c>
      <c r="P10" s="5">
        <v>500</v>
      </c>
      <c r="Q10" s="5">
        <v>500</v>
      </c>
      <c r="R10" s="5">
        <v>800</v>
      </c>
      <c r="S10" s="5">
        <v>850</v>
      </c>
      <c r="T10" s="5">
        <v>800</v>
      </c>
      <c r="U10" s="5">
        <v>850</v>
      </c>
      <c r="V10" s="5">
        <v>850</v>
      </c>
      <c r="W10" s="5">
        <v>800</v>
      </c>
      <c r="X10" s="5">
        <v>800</v>
      </c>
      <c r="Y10" s="5">
        <v>1000</v>
      </c>
      <c r="Z10" s="5">
        <v>1000</v>
      </c>
      <c r="AA10" s="5">
        <v>1000</v>
      </c>
      <c r="AB10" s="5">
        <v>500</v>
      </c>
      <c r="AC10" s="5">
        <v>500</v>
      </c>
      <c r="AD10" s="5">
        <v>500</v>
      </c>
      <c r="AE10" s="15">
        <v>550</v>
      </c>
      <c r="AF10" s="15">
        <v>850</v>
      </c>
      <c r="AG10" s="5">
        <v>800</v>
      </c>
      <c r="AH10" s="5">
        <v>800</v>
      </c>
      <c r="AI10" s="5">
        <v>850</v>
      </c>
      <c r="AJ10" s="5">
        <v>850</v>
      </c>
      <c r="AK10" s="5">
        <v>850</v>
      </c>
      <c r="AL10" s="5">
        <v>850</v>
      </c>
      <c r="AM10" s="5">
        <v>850</v>
      </c>
      <c r="AN10" s="5">
        <v>850</v>
      </c>
      <c r="AO10" s="5">
        <v>850</v>
      </c>
      <c r="AP10" s="5">
        <v>850</v>
      </c>
      <c r="AQ10" s="5">
        <v>850</v>
      </c>
      <c r="AR10" s="5">
        <v>850</v>
      </c>
      <c r="AS10" s="15">
        <v>850</v>
      </c>
      <c r="AT10" s="15">
        <v>700</v>
      </c>
      <c r="AU10" s="5">
        <v>700</v>
      </c>
      <c r="AV10" s="5">
        <v>700</v>
      </c>
      <c r="AW10" s="5">
        <v>700</v>
      </c>
      <c r="AX10" s="5">
        <v>700</v>
      </c>
      <c r="AY10" s="5">
        <v>700</v>
      </c>
      <c r="AZ10" s="5">
        <v>700</v>
      </c>
      <c r="BA10" s="5">
        <v>700</v>
      </c>
      <c r="BB10" s="5">
        <v>700</v>
      </c>
      <c r="BC10" s="5">
        <v>425</v>
      </c>
      <c r="BD10" s="5">
        <v>425</v>
      </c>
      <c r="BE10" s="5">
        <v>425</v>
      </c>
      <c r="BF10" s="5">
        <v>425</v>
      </c>
      <c r="BH10" s="5">
        <v>700</v>
      </c>
      <c r="BI10" s="5">
        <v>850</v>
      </c>
      <c r="BJ10" s="5">
        <v>800</v>
      </c>
    </row>
    <row r="11" spans="1:62" x14ac:dyDescent="0.25">
      <c r="A11" t="s">
        <v>208</v>
      </c>
      <c r="B11" s="14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v>300</v>
      </c>
      <c r="AC11" s="5">
        <v>300</v>
      </c>
      <c r="AD11" s="5">
        <v>300</v>
      </c>
      <c r="AE11" s="15">
        <v>300</v>
      </c>
      <c r="AF11" s="15">
        <v>660</v>
      </c>
      <c r="AG11" s="5">
        <v>660</v>
      </c>
      <c r="AH11" s="5">
        <v>660</v>
      </c>
      <c r="AI11" s="5">
        <v>660</v>
      </c>
      <c r="AJ11" s="5">
        <v>660</v>
      </c>
      <c r="AK11" s="5">
        <v>660</v>
      </c>
      <c r="AL11" s="5">
        <v>660</v>
      </c>
      <c r="AM11" s="5">
        <v>660</v>
      </c>
      <c r="AN11" s="5">
        <v>660</v>
      </c>
      <c r="AO11" s="5">
        <v>660</v>
      </c>
      <c r="AP11" s="5">
        <v>660</v>
      </c>
      <c r="AQ11" s="13">
        <v>660</v>
      </c>
      <c r="AR11" s="13">
        <v>660</v>
      </c>
      <c r="AS11" s="15">
        <v>660</v>
      </c>
      <c r="AT11" s="15">
        <v>360</v>
      </c>
      <c r="AU11" s="5">
        <v>360</v>
      </c>
      <c r="AV11" s="5">
        <v>360</v>
      </c>
      <c r="AW11" s="5">
        <v>360</v>
      </c>
      <c r="AX11" s="5">
        <v>360</v>
      </c>
      <c r="AY11" s="5">
        <v>360</v>
      </c>
      <c r="AZ11" s="5">
        <v>360</v>
      </c>
      <c r="BA11" s="5">
        <v>360</v>
      </c>
      <c r="BB11" s="5">
        <v>360</v>
      </c>
      <c r="BC11" s="5">
        <v>350</v>
      </c>
      <c r="BD11" s="5">
        <v>350</v>
      </c>
      <c r="BE11" s="5">
        <v>350</v>
      </c>
      <c r="BF11" s="5">
        <v>350</v>
      </c>
      <c r="BH11" s="5">
        <v>360</v>
      </c>
      <c r="BI11" s="5">
        <v>660</v>
      </c>
      <c r="BJ11" s="5">
        <v>660</v>
      </c>
    </row>
    <row r="12" spans="1:62" x14ac:dyDescent="0.25">
      <c r="A12" t="s">
        <v>64</v>
      </c>
      <c r="B12" s="144"/>
      <c r="C12" s="5">
        <v>1</v>
      </c>
      <c r="D12" s="5">
        <v>1</v>
      </c>
      <c r="E12" s="5">
        <v>1</v>
      </c>
      <c r="F12" s="5">
        <v>2</v>
      </c>
      <c r="G12" s="5">
        <v>2</v>
      </c>
      <c r="H12" s="5">
        <v>2</v>
      </c>
      <c r="I12" s="5">
        <v>2</v>
      </c>
      <c r="J12" s="5">
        <v>1</v>
      </c>
      <c r="K12" s="5">
        <v>1</v>
      </c>
      <c r="L12" s="5">
        <v>2</v>
      </c>
      <c r="M12" s="5">
        <v>2</v>
      </c>
      <c r="N12" s="5">
        <v>3</v>
      </c>
      <c r="O12" s="5">
        <v>3</v>
      </c>
      <c r="P12" s="5">
        <v>2</v>
      </c>
      <c r="Q12" s="5">
        <v>3</v>
      </c>
      <c r="R12" s="5">
        <v>2</v>
      </c>
      <c r="S12" s="5">
        <v>2</v>
      </c>
      <c r="T12" s="5">
        <v>2</v>
      </c>
      <c r="U12" s="5">
        <v>2</v>
      </c>
      <c r="V12" s="5">
        <v>2</v>
      </c>
      <c r="W12" s="5">
        <v>4</v>
      </c>
      <c r="X12" s="5">
        <v>4</v>
      </c>
      <c r="Y12" s="5">
        <v>4</v>
      </c>
      <c r="Z12" s="5">
        <v>4</v>
      </c>
      <c r="AA12" s="5">
        <v>4</v>
      </c>
      <c r="AB12" s="5">
        <v>1</v>
      </c>
      <c r="AC12" s="5">
        <v>2</v>
      </c>
      <c r="AD12" s="5">
        <v>2</v>
      </c>
      <c r="AE12" s="15">
        <v>2</v>
      </c>
      <c r="AF12" s="15">
        <v>2</v>
      </c>
      <c r="AG12" s="5">
        <v>2</v>
      </c>
      <c r="AH12" s="5">
        <v>2</v>
      </c>
      <c r="AI12" s="5">
        <v>2</v>
      </c>
      <c r="AJ12" s="5">
        <v>2</v>
      </c>
      <c r="AK12" s="5">
        <v>2</v>
      </c>
      <c r="AL12" s="5">
        <v>3</v>
      </c>
      <c r="AM12" s="5">
        <v>3</v>
      </c>
      <c r="AN12" s="5">
        <v>4</v>
      </c>
      <c r="AO12" s="5">
        <v>4</v>
      </c>
      <c r="AP12" s="5">
        <v>4</v>
      </c>
      <c r="AQ12" s="5">
        <v>6</v>
      </c>
      <c r="AR12" s="5">
        <v>6</v>
      </c>
      <c r="AS12" s="15">
        <v>6</v>
      </c>
      <c r="AT12" s="15">
        <v>2</v>
      </c>
      <c r="AU12" s="5">
        <v>2</v>
      </c>
      <c r="AV12" s="5">
        <v>2</v>
      </c>
      <c r="AW12" s="5">
        <v>2</v>
      </c>
      <c r="AX12" s="5">
        <v>3</v>
      </c>
      <c r="AY12" s="5">
        <v>4</v>
      </c>
      <c r="AZ12" s="5">
        <v>4</v>
      </c>
      <c r="BA12" s="5">
        <v>4</v>
      </c>
      <c r="BB12" s="5">
        <v>4</v>
      </c>
      <c r="BC12" s="5">
        <v>2</v>
      </c>
      <c r="BD12" s="5">
        <v>2</v>
      </c>
      <c r="BE12" s="5">
        <v>2</v>
      </c>
      <c r="BF12" s="5">
        <v>2</v>
      </c>
      <c r="BH12" s="5">
        <v>4</v>
      </c>
      <c r="BI12" s="5">
        <v>2</v>
      </c>
      <c r="BJ12" s="5">
        <v>2</v>
      </c>
    </row>
    <row r="13" spans="1:62" x14ac:dyDescent="0.25">
      <c r="A13" t="s">
        <v>84</v>
      </c>
      <c r="B13" s="144"/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2</v>
      </c>
      <c r="I13" s="5">
        <v>2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2</v>
      </c>
      <c r="Q13" s="5">
        <v>1</v>
      </c>
      <c r="R13" s="5">
        <v>2</v>
      </c>
      <c r="S13" s="5">
        <v>2</v>
      </c>
      <c r="T13" s="5">
        <v>2</v>
      </c>
      <c r="U13" s="5">
        <v>2</v>
      </c>
      <c r="V13" s="5">
        <v>3</v>
      </c>
      <c r="W13" s="5">
        <v>2</v>
      </c>
      <c r="X13" s="5">
        <v>2</v>
      </c>
      <c r="Y13" s="5">
        <v>2</v>
      </c>
      <c r="Z13" s="5">
        <v>3</v>
      </c>
      <c r="AA13" s="5">
        <v>3</v>
      </c>
      <c r="AB13" s="5">
        <v>1</v>
      </c>
      <c r="AC13" s="5">
        <v>1</v>
      </c>
      <c r="AD13" s="5">
        <v>1</v>
      </c>
      <c r="AE13" s="15">
        <v>2</v>
      </c>
      <c r="AF13" s="15">
        <v>1</v>
      </c>
      <c r="AG13" s="5">
        <v>1</v>
      </c>
      <c r="AH13" s="5">
        <v>1</v>
      </c>
      <c r="AI13" s="5">
        <v>3</v>
      </c>
      <c r="AJ13" s="5">
        <v>3</v>
      </c>
      <c r="AK13" s="5">
        <v>3</v>
      </c>
      <c r="AL13" s="5">
        <v>3</v>
      </c>
      <c r="AM13" s="5">
        <v>3</v>
      </c>
      <c r="AN13" s="5">
        <v>3</v>
      </c>
      <c r="AO13" s="5">
        <v>3</v>
      </c>
      <c r="AP13" s="5">
        <v>4</v>
      </c>
      <c r="AQ13" s="5">
        <v>4</v>
      </c>
      <c r="AR13" s="5">
        <v>4</v>
      </c>
      <c r="AS13" s="15">
        <v>4</v>
      </c>
      <c r="AT13" s="15">
        <v>2</v>
      </c>
      <c r="AU13" s="5">
        <v>2</v>
      </c>
      <c r="AV13" s="5">
        <v>3</v>
      </c>
      <c r="AW13" s="5">
        <v>3</v>
      </c>
      <c r="AX13" s="5">
        <v>3</v>
      </c>
      <c r="AY13" s="5">
        <v>3</v>
      </c>
      <c r="AZ13" s="5">
        <v>3</v>
      </c>
      <c r="BA13" s="5">
        <v>4</v>
      </c>
      <c r="BB13" s="5">
        <v>4</v>
      </c>
      <c r="BC13" s="5">
        <v>1</v>
      </c>
      <c r="BD13" s="5">
        <v>1</v>
      </c>
      <c r="BE13" s="5">
        <v>2</v>
      </c>
      <c r="BF13" s="5">
        <v>2</v>
      </c>
      <c r="BH13" s="5">
        <v>3</v>
      </c>
      <c r="BI13" s="5">
        <v>3</v>
      </c>
      <c r="BJ13" s="5">
        <v>2</v>
      </c>
    </row>
    <row r="14" spans="1:62" x14ac:dyDescent="0.25">
      <c r="A14" s="12" t="s">
        <v>92</v>
      </c>
      <c r="B14" s="144"/>
      <c r="C14" s="5">
        <v>10</v>
      </c>
      <c r="D14" s="5">
        <v>10</v>
      </c>
      <c r="E14" s="5">
        <v>10</v>
      </c>
      <c r="F14" s="5">
        <v>11</v>
      </c>
      <c r="G14" s="5">
        <v>11</v>
      </c>
      <c r="H14" s="5">
        <v>22</v>
      </c>
      <c r="I14" s="5">
        <v>22</v>
      </c>
      <c r="J14" s="5">
        <v>11</v>
      </c>
      <c r="K14" s="5">
        <v>11</v>
      </c>
      <c r="L14" s="5">
        <v>11</v>
      </c>
      <c r="M14" s="5">
        <v>11</v>
      </c>
      <c r="N14" s="5">
        <v>11</v>
      </c>
      <c r="O14" s="5">
        <v>11</v>
      </c>
      <c r="P14" s="5">
        <v>22</v>
      </c>
      <c r="Q14" s="5">
        <v>11</v>
      </c>
      <c r="R14" s="5">
        <v>22</v>
      </c>
      <c r="S14" s="5">
        <v>22</v>
      </c>
      <c r="T14" s="5">
        <v>22</v>
      </c>
      <c r="U14" s="5">
        <v>22</v>
      </c>
      <c r="V14" s="5">
        <v>33</v>
      </c>
      <c r="W14" s="5">
        <v>22</v>
      </c>
      <c r="X14" s="5">
        <v>22</v>
      </c>
      <c r="Y14" s="5">
        <v>22</v>
      </c>
      <c r="Z14" s="5">
        <v>33</v>
      </c>
      <c r="AA14" s="5">
        <v>33</v>
      </c>
      <c r="AB14" s="5">
        <v>13</v>
      </c>
      <c r="AC14" s="5">
        <v>13</v>
      </c>
      <c r="AD14" s="5">
        <v>13</v>
      </c>
      <c r="AE14" s="15">
        <v>26</v>
      </c>
      <c r="AF14" s="15">
        <v>13</v>
      </c>
      <c r="AG14" s="5">
        <v>13</v>
      </c>
      <c r="AH14" s="5">
        <v>11</v>
      </c>
      <c r="AI14" s="5">
        <v>32</v>
      </c>
      <c r="AJ14" s="5">
        <v>32</v>
      </c>
      <c r="AK14" s="5">
        <v>33</v>
      </c>
      <c r="AL14" s="5">
        <v>33</v>
      </c>
      <c r="AM14" s="5">
        <v>33</v>
      </c>
      <c r="AN14" s="5">
        <v>40</v>
      </c>
      <c r="AO14" s="5">
        <v>40</v>
      </c>
      <c r="AP14" s="5">
        <v>40</v>
      </c>
      <c r="AQ14" s="5">
        <v>40</v>
      </c>
      <c r="AR14" s="5">
        <v>40</v>
      </c>
      <c r="AS14" s="15">
        <v>40</v>
      </c>
      <c r="AT14" s="5">
        <v>32</v>
      </c>
      <c r="AU14" s="5">
        <v>32</v>
      </c>
      <c r="AV14" s="5">
        <v>32</v>
      </c>
      <c r="AW14" s="5">
        <v>30</v>
      </c>
      <c r="AX14" s="5">
        <v>30</v>
      </c>
      <c r="AY14" s="5">
        <v>40</v>
      </c>
      <c r="AZ14" s="5">
        <v>33</v>
      </c>
      <c r="BA14" s="5">
        <v>40</v>
      </c>
      <c r="BB14" s="5">
        <v>40</v>
      </c>
      <c r="BC14" s="5">
        <v>11</v>
      </c>
      <c r="BD14" s="5">
        <v>11</v>
      </c>
      <c r="BE14" s="5">
        <v>22</v>
      </c>
      <c r="BF14" s="5">
        <v>22</v>
      </c>
      <c r="BH14" s="5">
        <v>33</v>
      </c>
      <c r="BI14" s="5">
        <v>33</v>
      </c>
      <c r="BJ14" s="5">
        <v>22</v>
      </c>
    </row>
    <row r="15" spans="1:62" x14ac:dyDescent="0.25">
      <c r="A15" t="s">
        <v>85</v>
      </c>
      <c r="B15" s="144"/>
      <c r="C15" s="5"/>
      <c r="D15" s="5"/>
      <c r="E15" s="5"/>
      <c r="F15" s="5">
        <v>1</v>
      </c>
      <c r="G15" s="5">
        <v>1</v>
      </c>
      <c r="H15" s="5">
        <v>2</v>
      </c>
      <c r="I15" s="5">
        <v>2</v>
      </c>
      <c r="J15" s="5"/>
      <c r="K15" s="5"/>
      <c r="L15" s="5">
        <v>1</v>
      </c>
      <c r="M15" s="5">
        <v>1</v>
      </c>
      <c r="N15" s="5">
        <v>1</v>
      </c>
      <c r="O15" s="5">
        <v>1</v>
      </c>
      <c r="P15" s="5">
        <v>2</v>
      </c>
      <c r="Q15" s="5">
        <v>1</v>
      </c>
      <c r="R15" s="5">
        <v>2</v>
      </c>
      <c r="S15" s="5">
        <v>2</v>
      </c>
      <c r="T15" s="5">
        <v>2</v>
      </c>
      <c r="U15" s="5">
        <v>2</v>
      </c>
      <c r="V15" s="5">
        <v>3</v>
      </c>
      <c r="W15" s="5">
        <v>2</v>
      </c>
      <c r="X15" s="5">
        <v>2</v>
      </c>
      <c r="Y15" s="5">
        <v>2</v>
      </c>
      <c r="Z15" s="5">
        <v>3</v>
      </c>
      <c r="AA15" s="5">
        <v>3</v>
      </c>
      <c r="AB15" s="5"/>
      <c r="AC15" s="5">
        <v>1</v>
      </c>
      <c r="AD15" s="5">
        <v>2</v>
      </c>
      <c r="AE15" s="15">
        <v>2</v>
      </c>
      <c r="AF15" s="15">
        <v>1</v>
      </c>
      <c r="AG15" s="5">
        <v>1</v>
      </c>
      <c r="AH15" s="5">
        <v>2</v>
      </c>
      <c r="AI15" s="5">
        <v>3</v>
      </c>
      <c r="AJ15" s="5">
        <v>3</v>
      </c>
      <c r="AK15" s="5">
        <v>3</v>
      </c>
      <c r="AL15" s="5">
        <v>3</v>
      </c>
      <c r="AM15" s="5">
        <v>3</v>
      </c>
      <c r="AN15" s="5">
        <v>3</v>
      </c>
      <c r="AO15" s="5">
        <v>3</v>
      </c>
      <c r="AP15" s="5">
        <v>4</v>
      </c>
      <c r="AQ15" s="5">
        <v>4</v>
      </c>
      <c r="AR15" s="5">
        <v>4</v>
      </c>
      <c r="AS15" s="15">
        <v>4</v>
      </c>
      <c r="AT15" s="15">
        <v>2</v>
      </c>
      <c r="AU15" s="5">
        <v>2</v>
      </c>
      <c r="AV15" s="5">
        <v>3</v>
      </c>
      <c r="AW15" s="5">
        <v>3</v>
      </c>
      <c r="AX15" s="5">
        <v>3</v>
      </c>
      <c r="AY15" s="5">
        <v>3</v>
      </c>
      <c r="AZ15" s="5">
        <v>3</v>
      </c>
      <c r="BA15" s="5">
        <v>4</v>
      </c>
      <c r="BB15" s="5">
        <v>4</v>
      </c>
      <c r="BC15" s="5">
        <v>1</v>
      </c>
      <c r="BD15" s="5">
        <v>1</v>
      </c>
      <c r="BE15" s="5">
        <v>2</v>
      </c>
      <c r="BF15" s="5">
        <v>2</v>
      </c>
      <c r="BH15" s="5">
        <v>3</v>
      </c>
      <c r="BI15" s="5">
        <v>3</v>
      </c>
      <c r="BJ15" s="5">
        <v>2</v>
      </c>
    </row>
    <row r="16" spans="1:62" x14ac:dyDescent="0.25">
      <c r="A16" s="12" t="s">
        <v>93</v>
      </c>
      <c r="B16" s="144"/>
      <c r="C16" s="5"/>
      <c r="D16" s="5"/>
      <c r="E16" s="5"/>
      <c r="F16" s="5">
        <v>11</v>
      </c>
      <c r="G16" s="5">
        <v>11</v>
      </c>
      <c r="H16" s="5">
        <v>22</v>
      </c>
      <c r="I16" s="5">
        <v>22</v>
      </c>
      <c r="J16" s="5"/>
      <c r="K16" s="5"/>
      <c r="L16" s="5">
        <v>11</v>
      </c>
      <c r="M16" s="5">
        <v>11</v>
      </c>
      <c r="N16" s="5">
        <v>11</v>
      </c>
      <c r="O16" s="5">
        <v>11</v>
      </c>
      <c r="P16" s="5">
        <v>22</v>
      </c>
      <c r="Q16" s="5">
        <v>11</v>
      </c>
      <c r="R16" s="5">
        <v>22</v>
      </c>
      <c r="S16" s="5">
        <v>22</v>
      </c>
      <c r="T16" s="5">
        <v>22</v>
      </c>
      <c r="U16" s="5">
        <v>22</v>
      </c>
      <c r="V16" s="5">
        <v>33</v>
      </c>
      <c r="W16" s="5">
        <v>22</v>
      </c>
      <c r="X16" s="5">
        <v>22</v>
      </c>
      <c r="Y16" s="5">
        <v>22</v>
      </c>
      <c r="Z16" s="5">
        <v>33</v>
      </c>
      <c r="AA16" s="5">
        <v>33</v>
      </c>
      <c r="AB16" s="5"/>
      <c r="AC16" s="5">
        <v>13</v>
      </c>
      <c r="AD16" s="5">
        <v>26</v>
      </c>
      <c r="AE16" s="15">
        <v>26</v>
      </c>
      <c r="AF16" s="15">
        <v>13</v>
      </c>
      <c r="AG16" s="5">
        <v>13</v>
      </c>
      <c r="AH16" s="5">
        <v>22</v>
      </c>
      <c r="AI16" s="5">
        <v>32</v>
      </c>
      <c r="AJ16" s="5">
        <v>32</v>
      </c>
      <c r="AK16" s="5">
        <v>33</v>
      </c>
      <c r="AL16" s="5">
        <v>33</v>
      </c>
      <c r="AM16" s="5">
        <v>33</v>
      </c>
      <c r="AN16" s="5">
        <v>40</v>
      </c>
      <c r="AO16" s="5">
        <v>40</v>
      </c>
      <c r="AP16" s="5">
        <v>40</v>
      </c>
      <c r="AQ16" s="5">
        <v>40</v>
      </c>
      <c r="AR16" s="5">
        <v>40</v>
      </c>
      <c r="AS16" s="15">
        <v>40</v>
      </c>
      <c r="AT16" s="5">
        <v>32</v>
      </c>
      <c r="AU16" s="5">
        <v>32</v>
      </c>
      <c r="AV16" s="5">
        <v>32</v>
      </c>
      <c r="AW16" s="5">
        <v>30</v>
      </c>
      <c r="AX16" s="5">
        <v>30</v>
      </c>
      <c r="AY16" s="5">
        <v>40</v>
      </c>
      <c r="AZ16" s="5">
        <v>33</v>
      </c>
      <c r="BA16" s="5">
        <v>40</v>
      </c>
      <c r="BB16" s="5">
        <v>40</v>
      </c>
      <c r="BC16" s="5">
        <v>11</v>
      </c>
      <c r="BD16" s="5">
        <v>11</v>
      </c>
      <c r="BE16" s="5">
        <v>22</v>
      </c>
      <c r="BF16" s="5">
        <v>22</v>
      </c>
      <c r="BH16" s="5">
        <v>33</v>
      </c>
      <c r="BI16" s="5">
        <v>33</v>
      </c>
      <c r="BJ16" s="5">
        <v>22</v>
      </c>
    </row>
    <row r="17" spans="1:62" x14ac:dyDescent="0.25">
      <c r="A17" t="s">
        <v>86</v>
      </c>
      <c r="B17" s="14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1</v>
      </c>
      <c r="O17" s="5">
        <v>1</v>
      </c>
      <c r="P17" s="5"/>
      <c r="Q17" s="5">
        <v>1</v>
      </c>
      <c r="R17" s="5"/>
      <c r="S17" s="5"/>
      <c r="T17" s="5"/>
      <c r="U17" s="5"/>
      <c r="V17" s="5"/>
      <c r="W17" s="5">
        <v>2</v>
      </c>
      <c r="X17" s="5">
        <v>2</v>
      </c>
      <c r="Y17" s="5">
        <v>2</v>
      </c>
      <c r="Z17" s="5">
        <v>3</v>
      </c>
      <c r="AA17" s="5">
        <v>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>
        <v>3</v>
      </c>
      <c r="AM17" s="5">
        <v>3</v>
      </c>
      <c r="AN17" s="5">
        <v>3</v>
      </c>
      <c r="AO17" s="5">
        <v>3</v>
      </c>
      <c r="AP17" s="5">
        <v>4</v>
      </c>
      <c r="AQ17" s="5">
        <v>4</v>
      </c>
      <c r="AR17" s="5">
        <v>4</v>
      </c>
      <c r="AS17" s="15">
        <v>4</v>
      </c>
      <c r="AT17" s="15"/>
      <c r="AU17" s="5"/>
      <c r="AV17" s="5"/>
      <c r="AW17" s="5"/>
      <c r="AX17" s="5">
        <v>3</v>
      </c>
      <c r="AY17" s="5">
        <v>3</v>
      </c>
      <c r="AZ17" s="5">
        <v>3</v>
      </c>
      <c r="BA17" s="5">
        <v>4</v>
      </c>
      <c r="BB17" s="5">
        <v>4</v>
      </c>
      <c r="BH17" s="5">
        <v>3</v>
      </c>
      <c r="BI17" s="5"/>
      <c r="BJ17" s="5"/>
    </row>
    <row r="18" spans="1:62" x14ac:dyDescent="0.25">
      <c r="A18" s="12" t="s">
        <v>94</v>
      </c>
      <c r="B18" s="1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11</v>
      </c>
      <c r="O18" s="5">
        <v>11</v>
      </c>
      <c r="P18" s="5"/>
      <c r="Q18" s="5">
        <v>11</v>
      </c>
      <c r="R18" s="5"/>
      <c r="S18" s="5"/>
      <c r="T18" s="5"/>
      <c r="U18" s="5"/>
      <c r="V18" s="5"/>
      <c r="W18" s="5">
        <v>22</v>
      </c>
      <c r="X18" s="5">
        <v>22</v>
      </c>
      <c r="Y18" s="5">
        <v>22</v>
      </c>
      <c r="Z18" s="5">
        <v>33</v>
      </c>
      <c r="AA18" s="5">
        <v>33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>
        <v>33</v>
      </c>
      <c r="AM18" s="5">
        <v>33</v>
      </c>
      <c r="AN18" s="5">
        <v>40</v>
      </c>
      <c r="AO18" s="5">
        <v>40</v>
      </c>
      <c r="AP18" s="5">
        <v>40</v>
      </c>
      <c r="AQ18" s="5">
        <v>40</v>
      </c>
      <c r="AR18" s="5">
        <v>40</v>
      </c>
      <c r="AS18" s="15">
        <v>40</v>
      </c>
      <c r="AT18" s="15"/>
      <c r="AU18" s="5"/>
      <c r="AV18" s="5"/>
      <c r="AW18" s="5"/>
      <c r="AX18" s="5">
        <v>30</v>
      </c>
      <c r="AY18" s="5">
        <v>40</v>
      </c>
      <c r="AZ18" s="5">
        <v>33</v>
      </c>
      <c r="BA18" s="5">
        <v>40</v>
      </c>
      <c r="BB18" s="5">
        <v>40</v>
      </c>
      <c r="BH18" s="5">
        <v>33</v>
      </c>
      <c r="BI18" s="5"/>
      <c r="BJ18" s="5"/>
    </row>
    <row r="19" spans="1:62" x14ac:dyDescent="0.25">
      <c r="A19" t="s">
        <v>87</v>
      </c>
      <c r="B19" s="14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v>2</v>
      </c>
      <c r="X19" s="5">
        <v>2</v>
      </c>
      <c r="Y19" s="5">
        <v>2</v>
      </c>
      <c r="Z19" s="5">
        <v>3</v>
      </c>
      <c r="AA19" s="5">
        <v>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>
        <v>3</v>
      </c>
      <c r="AO19" s="5">
        <v>3</v>
      </c>
      <c r="AP19" s="5">
        <v>4</v>
      </c>
      <c r="AQ19" s="5">
        <v>4</v>
      </c>
      <c r="AR19" s="5">
        <v>4</v>
      </c>
      <c r="AS19" s="15">
        <v>4</v>
      </c>
      <c r="AT19" s="15"/>
      <c r="AU19" s="5"/>
      <c r="AV19" s="5"/>
      <c r="AW19" s="5"/>
      <c r="AX19" s="5"/>
      <c r="AY19" s="5">
        <v>3</v>
      </c>
      <c r="AZ19" s="5">
        <v>3</v>
      </c>
      <c r="BA19" s="5">
        <v>4</v>
      </c>
      <c r="BB19" s="5">
        <v>4</v>
      </c>
      <c r="BH19" s="5">
        <v>3</v>
      </c>
      <c r="BI19" s="5"/>
      <c r="BJ19" s="5"/>
    </row>
    <row r="20" spans="1:62" x14ac:dyDescent="0.25">
      <c r="A20" s="12" t="s">
        <v>95</v>
      </c>
      <c r="B20" s="14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22</v>
      </c>
      <c r="X20" s="5">
        <v>22</v>
      </c>
      <c r="Y20" s="5">
        <v>22</v>
      </c>
      <c r="Z20" s="5">
        <v>33</v>
      </c>
      <c r="AA20" s="5">
        <v>33</v>
      </c>
      <c r="AB20" s="5"/>
      <c r="AC20" s="5"/>
      <c r="AD20" s="5"/>
      <c r="AI20" s="5"/>
      <c r="AJ20" s="5"/>
      <c r="AK20" s="5"/>
      <c r="AL20" s="5"/>
      <c r="AM20" s="5"/>
      <c r="AN20" s="5">
        <v>40</v>
      </c>
      <c r="AO20" s="5">
        <v>40</v>
      </c>
      <c r="AP20" s="5">
        <v>40</v>
      </c>
      <c r="AQ20" s="5">
        <v>40</v>
      </c>
      <c r="AR20" s="5">
        <v>40</v>
      </c>
      <c r="AS20" s="15">
        <v>40</v>
      </c>
      <c r="AT20" s="15"/>
      <c r="AU20" s="5"/>
      <c r="AV20" s="5"/>
      <c r="AW20" s="5"/>
      <c r="AX20" s="5"/>
      <c r="AY20" s="5">
        <v>40</v>
      </c>
      <c r="AZ20" s="5">
        <v>33</v>
      </c>
      <c r="BA20" s="5">
        <v>40</v>
      </c>
      <c r="BB20" s="5">
        <v>40</v>
      </c>
      <c r="BH20" s="5">
        <v>33</v>
      </c>
      <c r="BI20" s="5"/>
    </row>
    <row r="21" spans="1:62" x14ac:dyDescent="0.25">
      <c r="A21" t="s">
        <v>88</v>
      </c>
      <c r="B21" s="14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I21" s="5"/>
      <c r="AJ21" s="5"/>
      <c r="AK21" s="5"/>
      <c r="AL21" s="5"/>
      <c r="AM21" s="5"/>
      <c r="AN21" s="5"/>
      <c r="AO21" s="5"/>
      <c r="AP21" s="5"/>
      <c r="AQ21" s="5">
        <v>4</v>
      </c>
      <c r="AR21" s="5">
        <v>4</v>
      </c>
      <c r="AS21" s="15">
        <v>4</v>
      </c>
      <c r="AT21" s="15"/>
      <c r="AU21" s="5"/>
      <c r="AV21" s="5"/>
      <c r="AW21" s="5"/>
      <c r="AX21" s="5"/>
      <c r="BI21" s="5"/>
    </row>
    <row r="22" spans="1:62" x14ac:dyDescent="0.25">
      <c r="A22" s="12" t="s">
        <v>96</v>
      </c>
      <c r="B22" s="14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I22" s="5"/>
      <c r="AJ22" s="5"/>
      <c r="AK22" s="5"/>
      <c r="AL22" s="5"/>
      <c r="AM22" s="5"/>
      <c r="AN22" s="5"/>
      <c r="AO22" s="5"/>
      <c r="AP22" s="5"/>
      <c r="AQ22" s="5">
        <v>40</v>
      </c>
      <c r="AR22" s="5">
        <v>40</v>
      </c>
      <c r="AS22" s="15">
        <v>40</v>
      </c>
      <c r="AT22" s="15"/>
      <c r="AU22" s="5"/>
      <c r="AV22" s="5"/>
      <c r="AW22" s="5"/>
      <c r="AX22" s="5"/>
      <c r="BI22" s="5"/>
    </row>
    <row r="23" spans="1:62" x14ac:dyDescent="0.25">
      <c r="A23" t="s">
        <v>89</v>
      </c>
      <c r="B23" s="14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I23" s="5"/>
      <c r="AJ23" s="5"/>
      <c r="AK23" s="5"/>
      <c r="AL23" s="5"/>
      <c r="AM23" s="5"/>
      <c r="AN23" s="5"/>
      <c r="AO23" s="5"/>
      <c r="AP23" s="5"/>
      <c r="AQ23" s="5">
        <v>4</v>
      </c>
      <c r="AR23" s="5">
        <v>4</v>
      </c>
      <c r="AS23" s="15">
        <v>4</v>
      </c>
      <c r="AT23" s="15"/>
      <c r="AU23" s="5"/>
      <c r="AV23" s="5"/>
      <c r="AW23" s="5"/>
      <c r="AX23" s="5"/>
      <c r="BI23" s="5"/>
    </row>
    <row r="24" spans="1:62" x14ac:dyDescent="0.25">
      <c r="A24" s="12" t="s">
        <v>97</v>
      </c>
      <c r="B24" s="14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I24" s="5"/>
      <c r="AJ24" s="5"/>
      <c r="AK24" s="5"/>
      <c r="AL24" s="5"/>
      <c r="AM24" s="5"/>
      <c r="AN24" s="5"/>
      <c r="AO24" s="5"/>
      <c r="AP24" s="5"/>
      <c r="AQ24" s="5">
        <v>40</v>
      </c>
      <c r="AR24" s="5">
        <v>40</v>
      </c>
      <c r="AS24" s="15">
        <v>40</v>
      </c>
      <c r="AT24" s="15"/>
      <c r="AU24" s="5"/>
      <c r="AV24" s="5"/>
      <c r="AW24" s="5"/>
      <c r="AX24" s="5"/>
      <c r="BI24" s="5"/>
    </row>
    <row r="25" spans="1:62" x14ac:dyDescent="0.25">
      <c r="A25" t="s">
        <v>209</v>
      </c>
      <c r="B25" s="144"/>
      <c r="C25" t="s">
        <v>214</v>
      </c>
      <c r="D25" t="s">
        <v>214</v>
      </c>
      <c r="E25" t="s">
        <v>214</v>
      </c>
      <c r="F25" t="s">
        <v>144</v>
      </c>
      <c r="G25" t="s">
        <v>144</v>
      </c>
      <c r="H25" t="s">
        <v>145</v>
      </c>
      <c r="I25" t="s">
        <v>145</v>
      </c>
      <c r="J25" t="s">
        <v>214</v>
      </c>
      <c r="K25" t="s">
        <v>214</v>
      </c>
      <c r="L25" t="s">
        <v>144</v>
      </c>
      <c r="M25" t="s">
        <v>144</v>
      </c>
      <c r="N25" t="s">
        <v>146</v>
      </c>
      <c r="O25" t="s">
        <v>146</v>
      </c>
      <c r="P25" t="s">
        <v>145</v>
      </c>
      <c r="Q25" t="s">
        <v>146</v>
      </c>
      <c r="R25" t="s">
        <v>145</v>
      </c>
      <c r="S25" t="s">
        <v>145</v>
      </c>
      <c r="T25" t="s">
        <v>145</v>
      </c>
      <c r="U25" t="s">
        <v>145</v>
      </c>
      <c r="V25" t="s">
        <v>147</v>
      </c>
      <c r="W25" t="s">
        <v>148</v>
      </c>
      <c r="X25" t="s">
        <v>148</v>
      </c>
      <c r="Y25" t="s">
        <v>148</v>
      </c>
      <c r="Z25" t="s">
        <v>149</v>
      </c>
      <c r="AA25" t="s">
        <v>149</v>
      </c>
      <c r="AB25" t="s">
        <v>369</v>
      </c>
      <c r="AC25" t="s">
        <v>370</v>
      </c>
      <c r="AD25" t="s">
        <v>371</v>
      </c>
      <c r="AE25" t="s">
        <v>371</v>
      </c>
      <c r="AF25" t="s">
        <v>370</v>
      </c>
      <c r="AG25" s="18" t="s">
        <v>370</v>
      </c>
      <c r="AH25" s="18" t="s">
        <v>371</v>
      </c>
      <c r="AI25" s="18" t="s">
        <v>372</v>
      </c>
      <c r="AJ25" s="18" t="s">
        <v>372</v>
      </c>
      <c r="AK25" s="18" t="s">
        <v>372</v>
      </c>
      <c r="AL25" s="18" t="s">
        <v>373</v>
      </c>
      <c r="AM25" s="18" t="s">
        <v>373</v>
      </c>
      <c r="AN25" s="18" t="s">
        <v>374</v>
      </c>
      <c r="AO25" s="18" t="s">
        <v>374</v>
      </c>
      <c r="AP25" s="18" t="s">
        <v>375</v>
      </c>
      <c r="AQ25" s="18" t="s">
        <v>376</v>
      </c>
      <c r="AR25" s="18" t="s">
        <v>376</v>
      </c>
      <c r="AS25" s="18" t="s">
        <v>376</v>
      </c>
      <c r="AT25" s="18" t="s">
        <v>377</v>
      </c>
      <c r="AU25" s="18" t="s">
        <v>377</v>
      </c>
      <c r="AV25" s="18" t="s">
        <v>377</v>
      </c>
      <c r="AW25" s="18" t="s">
        <v>372</v>
      </c>
      <c r="AX25" s="18" t="s">
        <v>373</v>
      </c>
      <c r="AY25" t="s">
        <v>378</v>
      </c>
      <c r="AZ25" t="s">
        <v>378</v>
      </c>
      <c r="BA25" s="18" t="s">
        <v>379</v>
      </c>
      <c r="BB25" s="18" t="s">
        <v>379</v>
      </c>
      <c r="BC25" t="s">
        <v>144</v>
      </c>
      <c r="BD25" t="s">
        <v>144</v>
      </c>
      <c r="BE25" t="s">
        <v>145</v>
      </c>
      <c r="BF25" t="s">
        <v>145</v>
      </c>
      <c r="BH25" t="s">
        <v>150</v>
      </c>
      <c r="BI25" s="18" t="s">
        <v>147</v>
      </c>
      <c r="BJ25" s="18" t="s">
        <v>371</v>
      </c>
    </row>
    <row r="26" spans="1:62" x14ac:dyDescent="0.25">
      <c r="A26" s="12" t="s">
        <v>223</v>
      </c>
      <c r="B26" s="14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v>19.5</v>
      </c>
      <c r="AC26" s="5">
        <v>19.5</v>
      </c>
      <c r="AD26" s="17">
        <v>19.5</v>
      </c>
      <c r="AE26" s="19">
        <v>39</v>
      </c>
      <c r="AF26" s="19">
        <v>19.5</v>
      </c>
      <c r="AG26" s="19">
        <v>16</v>
      </c>
      <c r="AH26" s="19">
        <v>16</v>
      </c>
      <c r="AI26" s="17">
        <v>48</v>
      </c>
      <c r="AJ26" s="5">
        <v>48</v>
      </c>
      <c r="AK26" s="5">
        <v>48</v>
      </c>
      <c r="AL26" s="5">
        <v>48</v>
      </c>
      <c r="AM26" s="5">
        <v>48</v>
      </c>
      <c r="AN26" s="5">
        <v>60</v>
      </c>
      <c r="AO26" s="5">
        <v>60</v>
      </c>
      <c r="AP26" s="5">
        <v>60</v>
      </c>
      <c r="AQ26" s="5">
        <v>60</v>
      </c>
      <c r="AR26" s="5">
        <v>60</v>
      </c>
      <c r="AS26" s="5">
        <v>60</v>
      </c>
      <c r="AT26" s="5">
        <v>48</v>
      </c>
      <c r="AU26" s="5">
        <v>48</v>
      </c>
      <c r="AV26" s="5">
        <v>48</v>
      </c>
      <c r="AW26" s="5">
        <v>45</v>
      </c>
      <c r="AX26" s="5">
        <v>45</v>
      </c>
      <c r="AY26" s="5">
        <v>60</v>
      </c>
      <c r="AZ26" s="5">
        <v>48</v>
      </c>
      <c r="BA26" s="5">
        <v>55</v>
      </c>
      <c r="BB26" s="5">
        <v>60</v>
      </c>
      <c r="BC26" s="5">
        <v>16</v>
      </c>
      <c r="BD26" s="5">
        <v>16</v>
      </c>
      <c r="BE26" s="5">
        <v>32</v>
      </c>
      <c r="BF26" s="5">
        <v>32</v>
      </c>
      <c r="BH26" s="5">
        <v>48</v>
      </c>
      <c r="BI26" s="5">
        <v>48</v>
      </c>
      <c r="BJ26" s="17">
        <v>32</v>
      </c>
    </row>
    <row r="27" spans="1:62" x14ac:dyDescent="0.25">
      <c r="A27" s="12" t="s">
        <v>224</v>
      </c>
      <c r="B27" s="14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v>19.5</v>
      </c>
      <c r="AD27" s="17">
        <v>39</v>
      </c>
      <c r="AE27" s="19">
        <v>39</v>
      </c>
      <c r="AF27" s="19">
        <v>19.5</v>
      </c>
      <c r="AG27" s="19">
        <v>32</v>
      </c>
      <c r="AH27" s="19">
        <v>32</v>
      </c>
      <c r="AI27" s="17">
        <v>48</v>
      </c>
      <c r="AJ27" s="5">
        <v>48</v>
      </c>
      <c r="AK27" s="5">
        <v>48</v>
      </c>
      <c r="AL27" s="5">
        <v>48</v>
      </c>
      <c r="AM27" s="5">
        <v>48</v>
      </c>
      <c r="AN27" s="5">
        <v>60</v>
      </c>
      <c r="AO27" s="5">
        <v>60</v>
      </c>
      <c r="AP27" s="5">
        <v>60</v>
      </c>
      <c r="AQ27" s="5">
        <v>60</v>
      </c>
      <c r="AR27" s="5">
        <v>60</v>
      </c>
      <c r="AS27" s="5">
        <v>60</v>
      </c>
      <c r="AT27" s="5">
        <v>48</v>
      </c>
      <c r="AU27" s="5">
        <v>48</v>
      </c>
      <c r="AV27" s="5">
        <v>48</v>
      </c>
      <c r="AW27" s="5">
        <v>45</v>
      </c>
      <c r="AX27" s="5">
        <v>45</v>
      </c>
      <c r="AY27" s="5">
        <v>60</v>
      </c>
      <c r="AZ27" s="5">
        <v>48</v>
      </c>
      <c r="BA27" s="5">
        <v>55</v>
      </c>
      <c r="BB27" s="5">
        <v>60</v>
      </c>
      <c r="BC27" s="5">
        <v>16</v>
      </c>
      <c r="BD27" s="5">
        <v>16</v>
      </c>
      <c r="BE27" s="5">
        <v>32</v>
      </c>
      <c r="BF27" s="5">
        <v>32</v>
      </c>
      <c r="BH27" s="5">
        <v>48</v>
      </c>
      <c r="BI27" s="5">
        <v>48</v>
      </c>
      <c r="BJ27" s="17">
        <v>32</v>
      </c>
    </row>
    <row r="28" spans="1:62" x14ac:dyDescent="0.25">
      <c r="A28" s="12" t="s">
        <v>225</v>
      </c>
      <c r="B28" s="14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7"/>
      <c r="AE28" s="19"/>
      <c r="AF28" s="19"/>
      <c r="AG28" s="19"/>
      <c r="AH28" s="19"/>
      <c r="AI28" s="17"/>
      <c r="AJ28" s="5"/>
      <c r="AK28" s="5"/>
      <c r="AL28" s="5">
        <v>48</v>
      </c>
      <c r="AM28" s="5">
        <v>48</v>
      </c>
      <c r="AN28" s="5">
        <v>60</v>
      </c>
      <c r="AO28" s="5">
        <v>60</v>
      </c>
      <c r="AP28" s="5">
        <v>60</v>
      </c>
      <c r="AQ28" s="5">
        <v>60</v>
      </c>
      <c r="AR28" s="5">
        <v>60</v>
      </c>
      <c r="AS28" s="5">
        <v>60</v>
      </c>
      <c r="AT28" s="5"/>
      <c r="AU28" s="5"/>
      <c r="AV28" s="5"/>
      <c r="AW28" s="5"/>
      <c r="AX28" s="5">
        <v>45</v>
      </c>
      <c r="AY28" s="5">
        <v>60</v>
      </c>
      <c r="AZ28" s="5">
        <v>48</v>
      </c>
      <c r="BA28" s="5">
        <v>55</v>
      </c>
      <c r="BB28" s="5">
        <v>60</v>
      </c>
      <c r="BC28" s="5"/>
      <c r="BD28" s="5"/>
      <c r="BE28" s="5"/>
      <c r="BF28" s="5"/>
      <c r="BH28" s="5">
        <v>48</v>
      </c>
      <c r="BI28" s="5"/>
      <c r="BJ28" s="17"/>
    </row>
    <row r="29" spans="1:62" x14ac:dyDescent="0.25">
      <c r="A29" s="12" t="s">
        <v>226</v>
      </c>
      <c r="B29" s="14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7"/>
      <c r="AE29" s="17"/>
      <c r="AF29" s="17"/>
      <c r="AG29" s="17"/>
      <c r="AH29" s="17"/>
      <c r="AI29" s="17"/>
      <c r="AJ29" s="5"/>
      <c r="AK29" s="5"/>
      <c r="AL29" s="5"/>
      <c r="AM29" s="5"/>
      <c r="AN29" s="5">
        <v>60</v>
      </c>
      <c r="AO29" s="5">
        <v>60</v>
      </c>
      <c r="AP29" s="5">
        <v>60</v>
      </c>
      <c r="AQ29" s="5">
        <v>60</v>
      </c>
      <c r="AR29" s="5">
        <v>60</v>
      </c>
      <c r="AS29" s="5">
        <v>60</v>
      </c>
      <c r="AT29" s="5"/>
      <c r="AU29" s="5"/>
      <c r="AV29" s="5"/>
      <c r="AW29" s="5"/>
      <c r="AX29" s="5"/>
      <c r="AY29" s="5">
        <v>60</v>
      </c>
      <c r="AZ29" s="5">
        <v>48</v>
      </c>
      <c r="BA29" s="5">
        <v>55</v>
      </c>
      <c r="BB29" s="5">
        <v>60</v>
      </c>
      <c r="BC29" s="5"/>
      <c r="BD29" s="5"/>
      <c r="BE29" s="5"/>
      <c r="BH29" s="5">
        <v>48</v>
      </c>
      <c r="BI29" s="5"/>
      <c r="BJ29" s="17"/>
    </row>
    <row r="30" spans="1:62" x14ac:dyDescent="0.25">
      <c r="A30" s="12" t="s">
        <v>227</v>
      </c>
      <c r="B30" s="14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7"/>
      <c r="AE30" s="17"/>
      <c r="AF30" s="17"/>
      <c r="AG30" s="17"/>
      <c r="AH30" s="17"/>
      <c r="AI30" s="17"/>
      <c r="AJ30" s="5"/>
      <c r="AK30" s="5"/>
      <c r="AL30" s="5"/>
      <c r="AM30" s="5"/>
      <c r="AN30" s="5"/>
      <c r="AO30" s="5"/>
      <c r="AP30" s="5"/>
      <c r="AQ30" s="5">
        <v>60</v>
      </c>
      <c r="AR30" s="5">
        <v>60</v>
      </c>
      <c r="AS30" s="5">
        <v>60</v>
      </c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H30" s="5"/>
      <c r="BI30" s="5"/>
      <c r="BJ30" s="17"/>
    </row>
    <row r="31" spans="1:62" x14ac:dyDescent="0.25">
      <c r="A31" s="12" t="s">
        <v>228</v>
      </c>
      <c r="B31" s="14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7"/>
      <c r="AE31" s="17"/>
      <c r="AF31" s="17"/>
      <c r="AG31" s="17"/>
      <c r="AH31" s="17"/>
      <c r="AI31" s="17"/>
      <c r="AJ31" s="5"/>
      <c r="AK31" s="5"/>
      <c r="AL31" s="5"/>
      <c r="AM31" s="5"/>
      <c r="AN31" s="5"/>
      <c r="AO31" s="5"/>
      <c r="AP31" s="5"/>
      <c r="AQ31" s="5">
        <v>60</v>
      </c>
      <c r="AR31" s="5">
        <v>60</v>
      </c>
      <c r="AS31" s="5">
        <v>60</v>
      </c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H31" s="5"/>
      <c r="BI31" s="5"/>
      <c r="BJ31" s="17"/>
    </row>
    <row r="32" spans="1:62" x14ac:dyDescent="0.25">
      <c r="A32" s="12" t="s">
        <v>332</v>
      </c>
      <c r="AB32" t="s">
        <v>345</v>
      </c>
      <c r="AC32" t="s">
        <v>333</v>
      </c>
      <c r="AD32" t="s">
        <v>335</v>
      </c>
      <c r="AE32" t="s">
        <v>346</v>
      </c>
      <c r="AF32" t="s">
        <v>347</v>
      </c>
      <c r="AG32" t="s">
        <v>348</v>
      </c>
      <c r="AH32" t="s">
        <v>347</v>
      </c>
      <c r="AI32" t="s">
        <v>349</v>
      </c>
      <c r="AJ32" t="s">
        <v>349</v>
      </c>
      <c r="AK32" t="s">
        <v>342</v>
      </c>
      <c r="AL32" s="16" t="s">
        <v>350</v>
      </c>
      <c r="AM32" t="s">
        <v>342</v>
      </c>
      <c r="AN32" t="s">
        <v>350</v>
      </c>
      <c r="AO32" t="s">
        <v>342</v>
      </c>
      <c r="AP32" t="s">
        <v>342</v>
      </c>
      <c r="AQ32" t="s">
        <v>362</v>
      </c>
      <c r="AR32" t="s">
        <v>362</v>
      </c>
      <c r="AS32" t="s">
        <v>362</v>
      </c>
      <c r="AT32" t="s">
        <v>339</v>
      </c>
      <c r="AU32" t="s">
        <v>338</v>
      </c>
      <c r="AV32" t="s">
        <v>338</v>
      </c>
      <c r="AW32" t="s">
        <v>338</v>
      </c>
      <c r="AX32" t="s">
        <v>338</v>
      </c>
      <c r="AY32" t="s">
        <v>338</v>
      </c>
      <c r="AZ32" t="s">
        <v>338</v>
      </c>
      <c r="BA32" t="s">
        <v>337</v>
      </c>
      <c r="BB32" t="s">
        <v>337</v>
      </c>
      <c r="BC32" t="s">
        <v>336</v>
      </c>
      <c r="BD32" t="s">
        <v>333</v>
      </c>
      <c r="BE32" t="s">
        <v>335</v>
      </c>
      <c r="BF32" t="s">
        <v>334</v>
      </c>
      <c r="BJ32" t="s">
        <v>347</v>
      </c>
    </row>
    <row r="33" spans="1:58" x14ac:dyDescent="0.25">
      <c r="A33" s="12" t="s">
        <v>406</v>
      </c>
      <c r="AB33" t="s">
        <v>407</v>
      </c>
      <c r="AC33" t="s">
        <v>407</v>
      </c>
      <c r="AD33" t="s">
        <v>407</v>
      </c>
      <c r="AE33" t="s">
        <v>407</v>
      </c>
      <c r="AF33" t="s">
        <v>408</v>
      </c>
      <c r="AG33" t="s">
        <v>408</v>
      </c>
      <c r="AH33" t="s">
        <v>408</v>
      </c>
      <c r="AI33" t="s">
        <v>408</v>
      </c>
      <c r="AJ33" t="s">
        <v>408</v>
      </c>
      <c r="AK33" t="s">
        <v>408</v>
      </c>
      <c r="AL33" t="s">
        <v>408</v>
      </c>
      <c r="AM33" t="s">
        <v>408</v>
      </c>
      <c r="AN33" t="s">
        <v>408</v>
      </c>
      <c r="AO33" t="s">
        <v>408</v>
      </c>
      <c r="AP33" t="s">
        <v>408</v>
      </c>
      <c r="AQ33" t="s">
        <v>408</v>
      </c>
      <c r="AR33" t="s">
        <v>408</v>
      </c>
      <c r="AS33" t="s">
        <v>408</v>
      </c>
      <c r="AT33" t="s">
        <v>409</v>
      </c>
      <c r="AU33" t="s">
        <v>409</v>
      </c>
      <c r="AV33" t="s">
        <v>409</v>
      </c>
      <c r="AW33" t="s">
        <v>409</v>
      </c>
      <c r="AX33" t="s">
        <v>409</v>
      </c>
      <c r="AY33" t="s">
        <v>409</v>
      </c>
      <c r="AZ33" t="s">
        <v>409</v>
      </c>
      <c r="BA33" t="s">
        <v>409</v>
      </c>
      <c r="BB33" t="s">
        <v>409</v>
      </c>
      <c r="BC33" t="s">
        <v>407</v>
      </c>
      <c r="BD33" t="s">
        <v>407</v>
      </c>
      <c r="BE33" t="s">
        <v>407</v>
      </c>
      <c r="BF33" t="s">
        <v>407</v>
      </c>
    </row>
  </sheetData>
  <sheetProtection algorithmName="SHA-512" hashValue="YY02EV34bfa0Xfnx8yoNq4DWCWg1WrR5zQXDWlUTU6lqos7xq1VWmkYTcTuMugTAuyfWyBsr4Of/fkHBHhCxbQ==" saltValue="NEvx/0uoJGktAkuMak2maw==" spinCount="100000" sheet="1" selectLockedCells="1"/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74D60-C046-4205-AC6E-FE9167E066F3}">
  <sheetPr codeName="Planilha3"/>
  <dimension ref="A2:CN37"/>
  <sheetViews>
    <sheetView workbookViewId="0">
      <pane xSplit="1" topLeftCell="B1" activePane="topRight" state="frozen"/>
      <selection pane="topRight" activeCell="J18" sqref="J18"/>
    </sheetView>
  </sheetViews>
  <sheetFormatPr defaultColWidth="14.28515625" defaultRowHeight="15" x14ac:dyDescent="0.25"/>
  <cols>
    <col min="1" max="1" width="46.28515625" customWidth="1"/>
  </cols>
  <sheetData>
    <row r="2" spans="1:22" x14ac:dyDescent="0.25">
      <c r="C2" s="1"/>
      <c r="D2" s="1"/>
    </row>
    <row r="4" spans="1:22" x14ac:dyDescent="0.25">
      <c r="F4" t="s">
        <v>381</v>
      </c>
    </row>
    <row r="5" spans="1:22" x14ac:dyDescent="0.25">
      <c r="A5" s="9"/>
      <c r="B5" s="145" t="s">
        <v>236</v>
      </c>
      <c r="C5" s="4"/>
      <c r="D5" s="4"/>
      <c r="E5" s="4"/>
      <c r="F5" t="s">
        <v>380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x14ac:dyDescent="0.25">
      <c r="A6" s="2"/>
      <c r="B6" s="148" t="s">
        <v>237</v>
      </c>
      <c r="C6" s="4" t="s">
        <v>305</v>
      </c>
      <c r="D6" s="4" t="s">
        <v>306</v>
      </c>
      <c r="E6" s="4" t="s">
        <v>281</v>
      </c>
      <c r="F6" s="4" t="s">
        <v>355</v>
      </c>
      <c r="G6" s="4" t="s">
        <v>176</v>
      </c>
      <c r="H6" s="4" t="s">
        <v>307</v>
      </c>
      <c r="I6" s="4" t="s">
        <v>356</v>
      </c>
      <c r="J6" s="4" t="s">
        <v>419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x14ac:dyDescent="0.25">
      <c r="A7" s="3" t="s">
        <v>9</v>
      </c>
      <c r="B7" s="146"/>
      <c r="C7" s="1">
        <v>450</v>
      </c>
      <c r="D7" s="1">
        <v>465</v>
      </c>
      <c r="E7" s="1">
        <v>550</v>
      </c>
      <c r="F7" s="1">
        <v>665</v>
      </c>
      <c r="G7" s="1">
        <v>550</v>
      </c>
      <c r="H7" s="1">
        <v>550</v>
      </c>
      <c r="I7" s="1">
        <v>550</v>
      </c>
      <c r="J7" s="1">
        <v>555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x14ac:dyDescent="0.25">
      <c r="A8" s="3" t="s">
        <v>13</v>
      </c>
      <c r="B8" s="146"/>
      <c r="C8" s="1">
        <v>-0.3</v>
      </c>
      <c r="D8" s="1">
        <v>-0.3</v>
      </c>
      <c r="E8" s="1">
        <v>-0.3</v>
      </c>
      <c r="F8" s="1">
        <v>-0.3</v>
      </c>
      <c r="G8" s="1">
        <v>-0.28000000000000003</v>
      </c>
      <c r="H8" s="1">
        <v>-0.28499999999999998</v>
      </c>
      <c r="I8" s="1">
        <v>-0.27</v>
      </c>
      <c r="J8" s="1">
        <v>-0.27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x14ac:dyDescent="0.25">
      <c r="A9" s="3" t="s">
        <v>14</v>
      </c>
      <c r="B9" s="146"/>
      <c r="C9" s="1">
        <v>0.06</v>
      </c>
      <c r="D9" s="1">
        <v>0.06</v>
      </c>
      <c r="E9" s="1">
        <v>0.05</v>
      </c>
      <c r="F9" s="1">
        <v>0.06</v>
      </c>
      <c r="G9" s="1">
        <v>4.8000000000000001E-2</v>
      </c>
      <c r="H9" s="1">
        <v>4.4999999999999998E-2</v>
      </c>
      <c r="I9" s="1">
        <v>4.8000000000000001E-2</v>
      </c>
      <c r="J9" s="1">
        <v>4.4999999999999998E-2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x14ac:dyDescent="0.25">
      <c r="A10" s="3" t="s">
        <v>15</v>
      </c>
      <c r="B10" s="146"/>
      <c r="C10" s="1">
        <v>-0.37</v>
      </c>
      <c r="D10" s="1">
        <v>-0.37</v>
      </c>
      <c r="E10" s="1">
        <v>-0.37</v>
      </c>
      <c r="F10" s="1">
        <v>-0.37</v>
      </c>
      <c r="G10" s="1">
        <v>-0.35</v>
      </c>
      <c r="H10" s="1">
        <v>-0.35</v>
      </c>
      <c r="I10" s="1">
        <v>-0.35</v>
      </c>
      <c r="J10" s="1">
        <v>-0.35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x14ac:dyDescent="0.25">
      <c r="A11" s="3" t="s">
        <v>16</v>
      </c>
      <c r="B11" s="146"/>
      <c r="C11" s="1">
        <v>41.4</v>
      </c>
      <c r="D11" s="1">
        <v>42</v>
      </c>
      <c r="E11" s="1">
        <v>41.85</v>
      </c>
      <c r="F11" s="1">
        <v>38.1</v>
      </c>
      <c r="G11" s="1">
        <v>40.83</v>
      </c>
      <c r="H11" s="1">
        <v>42.1</v>
      </c>
      <c r="I11" s="1">
        <v>41.28</v>
      </c>
      <c r="J11" s="1">
        <v>42.27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2" x14ac:dyDescent="0.25">
      <c r="A12" s="3" t="s">
        <v>270</v>
      </c>
      <c r="B12" s="146"/>
      <c r="C12" s="1">
        <v>50</v>
      </c>
      <c r="D12" s="1">
        <v>50.6</v>
      </c>
      <c r="E12" s="1">
        <v>49.8</v>
      </c>
      <c r="F12" s="1">
        <v>45.8</v>
      </c>
      <c r="G12" s="1">
        <v>49.6</v>
      </c>
      <c r="H12" s="1">
        <f>50.1*1.03</f>
        <v>51.603000000000002</v>
      </c>
      <c r="I12" s="1">
        <v>49.8</v>
      </c>
      <c r="J12" s="1">
        <v>50.3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x14ac:dyDescent="0.25">
      <c r="A13" s="3" t="s">
        <v>18</v>
      </c>
      <c r="B13" s="146"/>
      <c r="C13" s="161">
        <v>10.87</v>
      </c>
      <c r="D13" s="161">
        <v>11.07</v>
      </c>
      <c r="E13" s="161">
        <v>13.14</v>
      </c>
      <c r="F13" s="1">
        <v>17.45</v>
      </c>
      <c r="G13" s="1">
        <v>13.48</v>
      </c>
      <c r="H13" s="161">
        <v>13.06</v>
      </c>
      <c r="I13" s="1">
        <v>13.32</v>
      </c>
      <c r="J13" s="1">
        <v>13.13</v>
      </c>
      <c r="K13" s="1"/>
      <c r="L13" s="161"/>
      <c r="M13" s="161"/>
      <c r="N13" s="161"/>
      <c r="O13" s="161"/>
      <c r="P13" s="161"/>
      <c r="Q13" s="161"/>
      <c r="R13" s="1"/>
      <c r="S13" s="1"/>
      <c r="T13" s="1"/>
      <c r="U13" s="1"/>
    </row>
    <row r="14" spans="1:22" x14ac:dyDescent="0.25">
      <c r="A14" s="3" t="s">
        <v>269</v>
      </c>
      <c r="B14" s="146"/>
      <c r="C14" s="162">
        <v>11.57</v>
      </c>
      <c r="D14" s="162">
        <v>11.62</v>
      </c>
      <c r="E14" s="162">
        <v>13.78</v>
      </c>
      <c r="F14" s="8">
        <v>19.5</v>
      </c>
      <c r="G14" s="1">
        <v>14.04</v>
      </c>
      <c r="H14" s="162">
        <f>13.9*1.03</f>
        <v>14.317</v>
      </c>
      <c r="I14" s="8">
        <v>14.01</v>
      </c>
      <c r="J14" s="8">
        <v>13.98</v>
      </c>
      <c r="K14" s="8"/>
      <c r="L14" s="162"/>
      <c r="M14" s="162"/>
      <c r="N14" s="162"/>
      <c r="O14" s="162"/>
      <c r="P14" s="162"/>
      <c r="Q14" s="162"/>
      <c r="R14" s="8"/>
      <c r="S14" s="1"/>
      <c r="T14" s="1"/>
      <c r="U14" s="1"/>
    </row>
    <row r="15" spans="1:22" hidden="1" x14ac:dyDescent="0.25">
      <c r="A15" s="110" t="s">
        <v>7</v>
      </c>
      <c r="B15" s="146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22" hidden="1" x14ac:dyDescent="0.25">
      <c r="A16" s="110" t="s">
        <v>8</v>
      </c>
      <c r="B16" s="146"/>
      <c r="C16" s="6">
        <f>C15/C7</f>
        <v>0</v>
      </c>
      <c r="D16" s="6">
        <f>D15/D7</f>
        <v>0</v>
      </c>
      <c r="E16" s="6">
        <f>E15/E7</f>
        <v>0</v>
      </c>
      <c r="F16" s="6">
        <f>F15/F7</f>
        <v>0</v>
      </c>
      <c r="G16" s="6">
        <f>G15/G7</f>
        <v>0</v>
      </c>
      <c r="H16" s="6"/>
      <c r="I16" s="6"/>
      <c r="J16" s="6">
        <f>J15/J7</f>
        <v>0</v>
      </c>
      <c r="K16" s="6"/>
      <c r="L16" s="6"/>
      <c r="M16" s="6"/>
      <c r="N16" s="6"/>
      <c r="O16" s="6"/>
      <c r="P16" s="6"/>
      <c r="Q16" s="6"/>
      <c r="R16" s="6" t="e">
        <f t="shared" ref="R16:S16" si="0">R15/R7</f>
        <v>#DIV/0!</v>
      </c>
      <c r="S16" s="6" t="e">
        <f t="shared" si="0"/>
        <v>#DIV/0!</v>
      </c>
      <c r="U16" s="4"/>
      <c r="V16" s="4"/>
    </row>
    <row r="17" spans="1:92" s="171" customFormat="1" x14ac:dyDescent="0.25">
      <c r="A17" s="168" t="s">
        <v>332</v>
      </c>
      <c r="B17" s="169"/>
      <c r="C17" s="170" t="s">
        <v>357</v>
      </c>
      <c r="D17" s="170" t="s">
        <v>357</v>
      </c>
      <c r="E17" s="170" t="s">
        <v>357</v>
      </c>
      <c r="F17" s="170" t="s">
        <v>358</v>
      </c>
      <c r="G17" s="170" t="s">
        <v>359</v>
      </c>
      <c r="H17" s="170" t="s">
        <v>360</v>
      </c>
      <c r="I17" s="170" t="s">
        <v>361</v>
      </c>
      <c r="J17" s="170" t="s">
        <v>420</v>
      </c>
      <c r="K17" s="170"/>
      <c r="L17" s="170"/>
      <c r="M17" s="170"/>
      <c r="N17" s="170"/>
      <c r="O17" s="170"/>
      <c r="P17" s="170"/>
      <c r="Q17" s="170"/>
      <c r="R17" s="170"/>
      <c r="S17" s="170"/>
      <c r="U17" s="172"/>
      <c r="V17" s="172"/>
    </row>
    <row r="18" spans="1:92" x14ac:dyDescent="0.25">
      <c r="A18" s="110" t="s">
        <v>285</v>
      </c>
      <c r="B18" s="163" t="str">
        <f t="shared" ref="B18:L18" si="1">IF(B11&gt;B12,"Vmp &gt; Voc","")</f>
        <v/>
      </c>
      <c r="C18" s="163" t="str">
        <f t="shared" si="1"/>
        <v/>
      </c>
      <c r="D18" s="163" t="str">
        <f t="shared" si="1"/>
        <v/>
      </c>
      <c r="E18" s="163" t="str">
        <f t="shared" si="1"/>
        <v/>
      </c>
      <c r="F18" s="163" t="str">
        <f t="shared" si="1"/>
        <v/>
      </c>
      <c r="G18" s="163" t="str">
        <f t="shared" si="1"/>
        <v/>
      </c>
      <c r="H18" s="163" t="str">
        <f t="shared" si="1"/>
        <v/>
      </c>
      <c r="I18" s="163" t="str">
        <f t="shared" si="1"/>
        <v/>
      </c>
      <c r="J18" s="163" t="str">
        <f t="shared" si="1"/>
        <v/>
      </c>
      <c r="K18" s="163" t="str">
        <f t="shared" si="1"/>
        <v/>
      </c>
      <c r="L18" s="163" t="str">
        <f t="shared" si="1"/>
        <v/>
      </c>
      <c r="M18" s="163" t="str">
        <f t="shared" ref="M18:BD18" si="2">IF(M11&gt;M12,"Vmp &gt; Voc","")</f>
        <v/>
      </c>
      <c r="N18" s="163" t="str">
        <f t="shared" si="2"/>
        <v/>
      </c>
      <c r="O18" s="163" t="str">
        <f t="shared" si="2"/>
        <v/>
      </c>
      <c r="P18" s="163" t="str">
        <f t="shared" si="2"/>
        <v/>
      </c>
      <c r="Q18" s="163" t="str">
        <f t="shared" si="2"/>
        <v/>
      </c>
      <c r="R18" s="163" t="str">
        <f t="shared" si="2"/>
        <v/>
      </c>
      <c r="S18" s="163" t="str">
        <f t="shared" si="2"/>
        <v/>
      </c>
      <c r="T18" s="163" t="str">
        <f t="shared" si="2"/>
        <v/>
      </c>
      <c r="U18" s="163" t="str">
        <f t="shared" si="2"/>
        <v/>
      </c>
      <c r="V18" s="163" t="str">
        <f t="shared" si="2"/>
        <v/>
      </c>
      <c r="W18" s="163" t="str">
        <f t="shared" si="2"/>
        <v/>
      </c>
      <c r="X18" s="163" t="str">
        <f t="shared" si="2"/>
        <v/>
      </c>
      <c r="Y18" s="163" t="str">
        <f t="shared" si="2"/>
        <v/>
      </c>
      <c r="Z18" s="163" t="str">
        <f t="shared" si="2"/>
        <v/>
      </c>
      <c r="AA18" s="163" t="str">
        <f t="shared" si="2"/>
        <v/>
      </c>
      <c r="AB18" s="163" t="str">
        <f t="shared" si="2"/>
        <v/>
      </c>
      <c r="AC18" s="163" t="str">
        <f t="shared" si="2"/>
        <v/>
      </c>
      <c r="AD18" s="163" t="str">
        <f t="shared" si="2"/>
        <v/>
      </c>
      <c r="AE18" s="163" t="str">
        <f t="shared" si="2"/>
        <v/>
      </c>
      <c r="AF18" s="163" t="str">
        <f t="shared" si="2"/>
        <v/>
      </c>
      <c r="AG18" s="163" t="str">
        <f t="shared" si="2"/>
        <v/>
      </c>
      <c r="AH18" s="163" t="str">
        <f t="shared" si="2"/>
        <v/>
      </c>
      <c r="AI18" s="163" t="str">
        <f t="shared" si="2"/>
        <v/>
      </c>
      <c r="AJ18" s="163" t="str">
        <f t="shared" si="2"/>
        <v/>
      </c>
      <c r="AK18" s="163" t="str">
        <f t="shared" si="2"/>
        <v/>
      </c>
      <c r="AL18" s="163" t="str">
        <f t="shared" si="2"/>
        <v/>
      </c>
      <c r="AM18" s="163" t="str">
        <f t="shared" si="2"/>
        <v/>
      </c>
      <c r="AN18" s="163" t="str">
        <f t="shared" si="2"/>
        <v/>
      </c>
      <c r="AO18" s="163" t="str">
        <f t="shared" si="2"/>
        <v/>
      </c>
      <c r="AP18" s="163" t="str">
        <f t="shared" si="2"/>
        <v/>
      </c>
      <c r="AQ18" s="163" t="str">
        <f t="shared" si="2"/>
        <v/>
      </c>
      <c r="AR18" s="163" t="str">
        <f t="shared" si="2"/>
        <v/>
      </c>
      <c r="AS18" s="163" t="str">
        <f t="shared" si="2"/>
        <v/>
      </c>
      <c r="AT18" s="163" t="str">
        <f t="shared" si="2"/>
        <v/>
      </c>
      <c r="AU18" s="163" t="str">
        <f t="shared" si="2"/>
        <v/>
      </c>
      <c r="AV18" s="163" t="str">
        <f t="shared" si="2"/>
        <v/>
      </c>
      <c r="AW18" s="163" t="str">
        <f t="shared" si="2"/>
        <v/>
      </c>
      <c r="AX18" s="163" t="str">
        <f t="shared" si="2"/>
        <v/>
      </c>
      <c r="AY18" s="163" t="str">
        <f t="shared" si="2"/>
        <v/>
      </c>
      <c r="AZ18" s="163" t="str">
        <f t="shared" si="2"/>
        <v/>
      </c>
      <c r="BA18" s="163" t="str">
        <f t="shared" si="2"/>
        <v/>
      </c>
      <c r="BB18" s="163" t="str">
        <f t="shared" si="2"/>
        <v/>
      </c>
      <c r="BC18" s="163" t="str">
        <f t="shared" si="2"/>
        <v/>
      </c>
      <c r="BD18" s="163" t="str">
        <f t="shared" si="2"/>
        <v/>
      </c>
      <c r="BE18" s="163" t="str">
        <f t="shared" ref="BE18:BJ18" si="3">IF(BE11&gt;BE12,"Vmp &gt; Voc","")</f>
        <v/>
      </c>
      <c r="BF18" s="163" t="str">
        <f t="shared" si="3"/>
        <v/>
      </c>
      <c r="BG18" s="163" t="str">
        <f t="shared" si="3"/>
        <v/>
      </c>
      <c r="BH18" s="163" t="str">
        <f t="shared" si="3"/>
        <v/>
      </c>
      <c r="BI18" s="163" t="str">
        <f t="shared" si="3"/>
        <v/>
      </c>
      <c r="BJ18" s="163" t="str">
        <f t="shared" si="3"/>
        <v/>
      </c>
      <c r="BK18" s="163" t="str">
        <f t="shared" ref="BK18:CN18" si="4">IF(BK11&gt;BK12,"Vmp &gt; Voc","")</f>
        <v/>
      </c>
      <c r="BL18" s="163" t="str">
        <f t="shared" si="4"/>
        <v/>
      </c>
      <c r="BM18" s="163" t="str">
        <f t="shared" si="4"/>
        <v/>
      </c>
      <c r="BN18" s="163" t="str">
        <f t="shared" si="4"/>
        <v/>
      </c>
      <c r="BO18" s="163" t="str">
        <f t="shared" si="4"/>
        <v/>
      </c>
      <c r="BP18" s="163" t="str">
        <f t="shared" si="4"/>
        <v/>
      </c>
      <c r="BQ18" s="163" t="str">
        <f t="shared" si="4"/>
        <v/>
      </c>
      <c r="BR18" s="163" t="str">
        <f t="shared" si="4"/>
        <v/>
      </c>
      <c r="BS18" s="163" t="str">
        <f t="shared" si="4"/>
        <v/>
      </c>
      <c r="BT18" s="163" t="str">
        <f t="shared" si="4"/>
        <v/>
      </c>
      <c r="BU18" s="163" t="str">
        <f t="shared" si="4"/>
        <v/>
      </c>
      <c r="BV18" s="163" t="str">
        <f t="shared" si="4"/>
        <v/>
      </c>
      <c r="BW18" s="163" t="str">
        <f t="shared" si="4"/>
        <v/>
      </c>
      <c r="BX18" s="163" t="str">
        <f t="shared" si="4"/>
        <v/>
      </c>
      <c r="BY18" s="163" t="str">
        <f t="shared" si="4"/>
        <v/>
      </c>
      <c r="BZ18" s="163" t="str">
        <f t="shared" si="4"/>
        <v/>
      </c>
      <c r="CA18" s="163" t="str">
        <f t="shared" si="4"/>
        <v/>
      </c>
      <c r="CB18" s="163" t="str">
        <f t="shared" si="4"/>
        <v/>
      </c>
      <c r="CC18" s="163" t="str">
        <f t="shared" si="4"/>
        <v/>
      </c>
      <c r="CD18" s="163" t="str">
        <f t="shared" si="4"/>
        <v/>
      </c>
      <c r="CE18" s="163" t="str">
        <f t="shared" si="4"/>
        <v/>
      </c>
      <c r="CF18" s="163" t="str">
        <f t="shared" si="4"/>
        <v/>
      </c>
      <c r="CG18" s="163" t="str">
        <f t="shared" si="4"/>
        <v/>
      </c>
      <c r="CH18" s="163" t="str">
        <f t="shared" si="4"/>
        <v/>
      </c>
      <c r="CI18" s="163" t="str">
        <f t="shared" si="4"/>
        <v/>
      </c>
      <c r="CJ18" s="163" t="str">
        <f t="shared" si="4"/>
        <v/>
      </c>
      <c r="CK18" s="163" t="str">
        <f t="shared" si="4"/>
        <v/>
      </c>
      <c r="CL18" s="163" t="str">
        <f t="shared" si="4"/>
        <v/>
      </c>
      <c r="CM18" s="163" t="str">
        <f t="shared" si="4"/>
        <v/>
      </c>
      <c r="CN18" s="163" t="str">
        <f t="shared" si="4"/>
        <v/>
      </c>
    </row>
    <row r="19" spans="1:92" x14ac:dyDescent="0.25">
      <c r="A19" s="110" t="s">
        <v>286</v>
      </c>
      <c r="B19" s="163" t="str">
        <f t="shared" ref="B19:L19" si="5">IF(B13&gt;B14,"Vmp &gt; Voc","")</f>
        <v/>
      </c>
      <c r="C19" s="163" t="str">
        <f t="shared" si="5"/>
        <v/>
      </c>
      <c r="D19" s="163" t="str">
        <f t="shared" si="5"/>
        <v/>
      </c>
      <c r="E19" s="163" t="str">
        <f t="shared" si="5"/>
        <v/>
      </c>
      <c r="F19" s="163" t="str">
        <f t="shared" si="5"/>
        <v/>
      </c>
      <c r="G19" s="163" t="str">
        <f t="shared" si="5"/>
        <v/>
      </c>
      <c r="H19" s="163" t="str">
        <f t="shared" si="5"/>
        <v/>
      </c>
      <c r="I19" s="163" t="str">
        <f t="shared" si="5"/>
        <v/>
      </c>
      <c r="J19" s="163" t="str">
        <f t="shared" si="5"/>
        <v/>
      </c>
      <c r="K19" s="163" t="str">
        <f t="shared" si="5"/>
        <v/>
      </c>
      <c r="L19" s="163" t="str">
        <f t="shared" si="5"/>
        <v/>
      </c>
      <c r="M19" s="163" t="str">
        <f t="shared" ref="M19:BD19" si="6">IF(M13&gt;M14,"Vmp &gt; Voc","")</f>
        <v/>
      </c>
      <c r="N19" s="163" t="str">
        <f t="shared" si="6"/>
        <v/>
      </c>
      <c r="O19" s="163" t="str">
        <f t="shared" si="6"/>
        <v/>
      </c>
      <c r="P19" s="163" t="str">
        <f t="shared" si="6"/>
        <v/>
      </c>
      <c r="Q19" s="163" t="str">
        <f t="shared" si="6"/>
        <v/>
      </c>
      <c r="R19" s="163" t="str">
        <f t="shared" si="6"/>
        <v/>
      </c>
      <c r="S19" s="163" t="str">
        <f t="shared" si="6"/>
        <v/>
      </c>
      <c r="T19" s="163" t="str">
        <f t="shared" si="6"/>
        <v/>
      </c>
      <c r="U19" s="163" t="str">
        <f t="shared" si="6"/>
        <v/>
      </c>
      <c r="V19" s="163" t="str">
        <f t="shared" si="6"/>
        <v/>
      </c>
      <c r="W19" s="163" t="str">
        <f t="shared" si="6"/>
        <v/>
      </c>
      <c r="X19" s="163" t="str">
        <f t="shared" si="6"/>
        <v/>
      </c>
      <c r="Y19" s="163" t="str">
        <f t="shared" si="6"/>
        <v/>
      </c>
      <c r="Z19" s="163" t="str">
        <f t="shared" si="6"/>
        <v/>
      </c>
      <c r="AA19" s="163" t="str">
        <f t="shared" si="6"/>
        <v/>
      </c>
      <c r="AB19" s="163" t="str">
        <f t="shared" si="6"/>
        <v/>
      </c>
      <c r="AC19" s="163" t="str">
        <f t="shared" si="6"/>
        <v/>
      </c>
      <c r="AD19" s="163" t="str">
        <f t="shared" si="6"/>
        <v/>
      </c>
      <c r="AE19" s="163" t="str">
        <f t="shared" si="6"/>
        <v/>
      </c>
      <c r="AF19" s="163" t="str">
        <f t="shared" si="6"/>
        <v/>
      </c>
      <c r="AG19" s="163" t="str">
        <f t="shared" si="6"/>
        <v/>
      </c>
      <c r="AH19" s="163" t="str">
        <f t="shared" si="6"/>
        <v/>
      </c>
      <c r="AI19" s="163" t="str">
        <f t="shared" si="6"/>
        <v/>
      </c>
      <c r="AJ19" s="163" t="str">
        <f t="shared" si="6"/>
        <v/>
      </c>
      <c r="AK19" s="163" t="str">
        <f t="shared" si="6"/>
        <v/>
      </c>
      <c r="AL19" s="163" t="str">
        <f t="shared" si="6"/>
        <v/>
      </c>
      <c r="AM19" s="163" t="str">
        <f t="shared" si="6"/>
        <v/>
      </c>
      <c r="AN19" s="163" t="str">
        <f t="shared" si="6"/>
        <v/>
      </c>
      <c r="AO19" s="163" t="str">
        <f t="shared" si="6"/>
        <v/>
      </c>
      <c r="AP19" s="163" t="str">
        <f t="shared" si="6"/>
        <v/>
      </c>
      <c r="AQ19" s="163" t="str">
        <f t="shared" si="6"/>
        <v/>
      </c>
      <c r="AR19" s="163" t="str">
        <f t="shared" si="6"/>
        <v/>
      </c>
      <c r="AS19" s="163" t="str">
        <f t="shared" si="6"/>
        <v/>
      </c>
      <c r="AT19" s="163" t="str">
        <f t="shared" si="6"/>
        <v/>
      </c>
      <c r="AU19" s="163" t="str">
        <f t="shared" si="6"/>
        <v/>
      </c>
      <c r="AV19" s="163" t="str">
        <f t="shared" si="6"/>
        <v/>
      </c>
      <c r="AW19" s="163" t="str">
        <f t="shared" si="6"/>
        <v/>
      </c>
      <c r="AX19" s="163" t="str">
        <f t="shared" si="6"/>
        <v/>
      </c>
      <c r="AY19" s="163" t="str">
        <f t="shared" si="6"/>
        <v/>
      </c>
      <c r="AZ19" s="163" t="str">
        <f t="shared" si="6"/>
        <v/>
      </c>
      <c r="BA19" s="163" t="str">
        <f t="shared" si="6"/>
        <v/>
      </c>
      <c r="BB19" s="163" t="str">
        <f t="shared" si="6"/>
        <v/>
      </c>
      <c r="BC19" s="163" t="str">
        <f t="shared" si="6"/>
        <v/>
      </c>
      <c r="BD19" s="163" t="str">
        <f t="shared" si="6"/>
        <v/>
      </c>
      <c r="BE19" s="163" t="str">
        <f t="shared" ref="BE19:BJ19" si="7">IF(BE13&gt;BE14,"Vmp &gt; Voc","")</f>
        <v/>
      </c>
      <c r="BF19" s="163" t="str">
        <f t="shared" si="7"/>
        <v/>
      </c>
      <c r="BG19" s="163" t="str">
        <f t="shared" si="7"/>
        <v/>
      </c>
      <c r="BH19" s="163" t="str">
        <f t="shared" si="7"/>
        <v/>
      </c>
      <c r="BI19" s="163" t="str">
        <f t="shared" si="7"/>
        <v/>
      </c>
      <c r="BJ19" s="163" t="str">
        <f t="shared" si="7"/>
        <v/>
      </c>
      <c r="BK19" s="163" t="str">
        <f t="shared" ref="BK19:CN19" si="8">IF(BK13&gt;BK14,"Vmp &gt; Voc","")</f>
        <v/>
      </c>
      <c r="BL19" s="163" t="str">
        <f t="shared" si="8"/>
        <v/>
      </c>
      <c r="BM19" s="163" t="str">
        <f t="shared" si="8"/>
        <v/>
      </c>
      <c r="BN19" s="163" t="str">
        <f t="shared" si="8"/>
        <v/>
      </c>
      <c r="BO19" s="163" t="str">
        <f t="shared" si="8"/>
        <v/>
      </c>
      <c r="BP19" s="163" t="str">
        <f t="shared" si="8"/>
        <v/>
      </c>
      <c r="BQ19" s="163" t="str">
        <f t="shared" si="8"/>
        <v/>
      </c>
      <c r="BR19" s="163" t="str">
        <f t="shared" si="8"/>
        <v/>
      </c>
      <c r="BS19" s="163" t="str">
        <f t="shared" si="8"/>
        <v/>
      </c>
      <c r="BT19" s="163" t="str">
        <f t="shared" si="8"/>
        <v/>
      </c>
      <c r="BU19" s="163" t="str">
        <f t="shared" si="8"/>
        <v/>
      </c>
      <c r="BV19" s="163" t="str">
        <f t="shared" si="8"/>
        <v/>
      </c>
      <c r="BW19" s="163" t="str">
        <f t="shared" si="8"/>
        <v/>
      </c>
      <c r="BX19" s="163" t="str">
        <f t="shared" si="8"/>
        <v/>
      </c>
      <c r="BY19" s="163" t="str">
        <f t="shared" si="8"/>
        <v/>
      </c>
      <c r="BZ19" s="163" t="str">
        <f t="shared" si="8"/>
        <v/>
      </c>
      <c r="CA19" s="163" t="str">
        <f t="shared" si="8"/>
        <v/>
      </c>
      <c r="CB19" s="163" t="str">
        <f t="shared" si="8"/>
        <v/>
      </c>
      <c r="CC19" s="163" t="str">
        <f t="shared" si="8"/>
        <v/>
      </c>
      <c r="CD19" s="163" t="str">
        <f t="shared" si="8"/>
        <v/>
      </c>
      <c r="CE19" s="163" t="str">
        <f t="shared" si="8"/>
        <v/>
      </c>
      <c r="CF19" s="163" t="str">
        <f t="shared" si="8"/>
        <v/>
      </c>
      <c r="CG19" s="163" t="str">
        <f t="shared" si="8"/>
        <v/>
      </c>
      <c r="CH19" s="163" t="str">
        <f t="shared" si="8"/>
        <v/>
      </c>
      <c r="CI19" s="163" t="str">
        <f t="shared" si="8"/>
        <v/>
      </c>
      <c r="CJ19" s="163" t="str">
        <f t="shared" si="8"/>
        <v/>
      </c>
      <c r="CK19" s="163" t="str">
        <f t="shared" si="8"/>
        <v/>
      </c>
      <c r="CL19" s="163" t="str">
        <f t="shared" si="8"/>
        <v/>
      </c>
      <c r="CM19" s="163" t="str">
        <f t="shared" si="8"/>
        <v/>
      </c>
      <c r="CN19" s="163" t="str">
        <f t="shared" si="8"/>
        <v/>
      </c>
    </row>
    <row r="20" spans="1:92" x14ac:dyDescent="0.25">
      <c r="A20" s="110" t="s">
        <v>289</v>
      </c>
      <c r="B20" s="16" t="str">
        <f t="shared" ref="B20:L20" si="9">IF(B8&gt;0,"Coef tensão POSITIVO","")</f>
        <v/>
      </c>
      <c r="C20" s="16" t="str">
        <f t="shared" si="9"/>
        <v/>
      </c>
      <c r="D20" s="16" t="str">
        <f t="shared" si="9"/>
        <v/>
      </c>
      <c r="E20" s="16" t="str">
        <f t="shared" si="9"/>
        <v/>
      </c>
      <c r="F20" s="16" t="str">
        <f t="shared" si="9"/>
        <v/>
      </c>
      <c r="G20" s="16" t="str">
        <f t="shared" si="9"/>
        <v/>
      </c>
      <c r="H20" s="16" t="str">
        <f t="shared" si="9"/>
        <v/>
      </c>
      <c r="I20" s="16" t="str">
        <f t="shared" si="9"/>
        <v/>
      </c>
      <c r="J20" s="16" t="str">
        <f t="shared" si="9"/>
        <v/>
      </c>
      <c r="K20" s="16" t="str">
        <f t="shared" si="9"/>
        <v/>
      </c>
      <c r="L20" s="16" t="str">
        <f t="shared" si="9"/>
        <v/>
      </c>
      <c r="M20" s="16" t="str">
        <f t="shared" ref="M20:BD20" si="10">IF(M8&gt;0,"Coef tensão POSITIVO","")</f>
        <v/>
      </c>
      <c r="N20" s="16" t="str">
        <f t="shared" si="10"/>
        <v/>
      </c>
      <c r="O20" s="16" t="str">
        <f t="shared" si="10"/>
        <v/>
      </c>
      <c r="P20" s="16" t="str">
        <f t="shared" si="10"/>
        <v/>
      </c>
      <c r="Q20" s="16" t="str">
        <f t="shared" si="10"/>
        <v/>
      </c>
      <c r="R20" s="16" t="str">
        <f t="shared" si="10"/>
        <v/>
      </c>
      <c r="S20" s="16" t="str">
        <f t="shared" si="10"/>
        <v/>
      </c>
      <c r="T20" s="16" t="str">
        <f t="shared" si="10"/>
        <v/>
      </c>
      <c r="U20" s="16" t="str">
        <f t="shared" si="10"/>
        <v/>
      </c>
      <c r="V20" s="16" t="str">
        <f t="shared" si="10"/>
        <v/>
      </c>
      <c r="W20" s="16" t="str">
        <f t="shared" si="10"/>
        <v/>
      </c>
      <c r="X20" s="16" t="str">
        <f t="shared" si="10"/>
        <v/>
      </c>
      <c r="Y20" s="16" t="str">
        <f t="shared" si="10"/>
        <v/>
      </c>
      <c r="Z20" s="16" t="str">
        <f t="shared" si="10"/>
        <v/>
      </c>
      <c r="AA20" s="16" t="str">
        <f t="shared" si="10"/>
        <v/>
      </c>
      <c r="AB20" s="16" t="str">
        <f t="shared" si="10"/>
        <v/>
      </c>
      <c r="AC20" s="16" t="str">
        <f t="shared" si="10"/>
        <v/>
      </c>
      <c r="AD20" s="16" t="str">
        <f t="shared" si="10"/>
        <v/>
      </c>
      <c r="AE20" s="16" t="str">
        <f t="shared" si="10"/>
        <v/>
      </c>
      <c r="AF20" s="16" t="str">
        <f t="shared" si="10"/>
        <v/>
      </c>
      <c r="AG20" s="16" t="str">
        <f t="shared" si="10"/>
        <v/>
      </c>
      <c r="AH20" s="16" t="str">
        <f t="shared" si="10"/>
        <v/>
      </c>
      <c r="AI20" s="16" t="str">
        <f t="shared" si="10"/>
        <v/>
      </c>
      <c r="AJ20" s="16" t="str">
        <f t="shared" si="10"/>
        <v/>
      </c>
      <c r="AK20" s="16" t="str">
        <f t="shared" si="10"/>
        <v/>
      </c>
      <c r="AL20" s="16" t="str">
        <f t="shared" si="10"/>
        <v/>
      </c>
      <c r="AM20" s="16" t="str">
        <f t="shared" si="10"/>
        <v/>
      </c>
      <c r="AN20" s="16" t="str">
        <f t="shared" si="10"/>
        <v/>
      </c>
      <c r="AO20" s="16" t="str">
        <f t="shared" si="10"/>
        <v/>
      </c>
      <c r="AP20" s="16" t="str">
        <f t="shared" si="10"/>
        <v/>
      </c>
      <c r="AQ20" s="16" t="str">
        <f t="shared" si="10"/>
        <v/>
      </c>
      <c r="AR20" s="16" t="str">
        <f t="shared" si="10"/>
        <v/>
      </c>
      <c r="AS20" s="16" t="str">
        <f t="shared" si="10"/>
        <v/>
      </c>
      <c r="AT20" s="16" t="str">
        <f t="shared" si="10"/>
        <v/>
      </c>
      <c r="AU20" s="16" t="str">
        <f t="shared" si="10"/>
        <v/>
      </c>
      <c r="AV20" s="16" t="str">
        <f t="shared" si="10"/>
        <v/>
      </c>
      <c r="AW20" s="16" t="str">
        <f t="shared" si="10"/>
        <v/>
      </c>
      <c r="AX20" s="16" t="str">
        <f t="shared" si="10"/>
        <v/>
      </c>
      <c r="AY20" s="16" t="str">
        <f t="shared" si="10"/>
        <v/>
      </c>
      <c r="AZ20" s="16" t="str">
        <f t="shared" si="10"/>
        <v/>
      </c>
      <c r="BA20" s="16" t="str">
        <f t="shared" si="10"/>
        <v/>
      </c>
      <c r="BB20" s="16" t="str">
        <f t="shared" si="10"/>
        <v/>
      </c>
      <c r="BC20" s="16" t="str">
        <f t="shared" si="10"/>
        <v/>
      </c>
      <c r="BD20" s="16" t="str">
        <f t="shared" si="10"/>
        <v/>
      </c>
      <c r="BE20" s="16" t="str">
        <f t="shared" ref="BE20:BJ20" si="11">IF(BE8&gt;0,"Coef tensão POSITIVO","")</f>
        <v/>
      </c>
      <c r="BF20" s="16" t="str">
        <f t="shared" si="11"/>
        <v/>
      </c>
      <c r="BG20" s="16" t="str">
        <f t="shared" si="11"/>
        <v/>
      </c>
      <c r="BH20" s="16" t="str">
        <f t="shared" si="11"/>
        <v/>
      </c>
      <c r="BI20" s="16" t="str">
        <f t="shared" si="11"/>
        <v/>
      </c>
      <c r="BJ20" s="16" t="str">
        <f t="shared" si="11"/>
        <v/>
      </c>
      <c r="BK20" s="16" t="str">
        <f t="shared" ref="BK20:CN20" si="12">IF(BK8&gt;0,"Coef tensão POSITIVO","")</f>
        <v/>
      </c>
      <c r="BL20" s="16" t="str">
        <f t="shared" si="12"/>
        <v/>
      </c>
      <c r="BM20" s="16" t="str">
        <f t="shared" si="12"/>
        <v/>
      </c>
      <c r="BN20" s="16" t="str">
        <f t="shared" si="12"/>
        <v/>
      </c>
      <c r="BO20" s="16" t="str">
        <f t="shared" si="12"/>
        <v/>
      </c>
      <c r="BP20" s="16" t="str">
        <f t="shared" si="12"/>
        <v/>
      </c>
      <c r="BQ20" s="16" t="str">
        <f t="shared" si="12"/>
        <v/>
      </c>
      <c r="BR20" s="16" t="str">
        <f t="shared" si="12"/>
        <v/>
      </c>
      <c r="BS20" s="16" t="str">
        <f t="shared" si="12"/>
        <v/>
      </c>
      <c r="BT20" s="16" t="str">
        <f t="shared" si="12"/>
        <v/>
      </c>
      <c r="BU20" s="16" t="str">
        <f t="shared" si="12"/>
        <v/>
      </c>
      <c r="BV20" s="16" t="str">
        <f t="shared" si="12"/>
        <v/>
      </c>
      <c r="BW20" s="16" t="str">
        <f t="shared" si="12"/>
        <v/>
      </c>
      <c r="BX20" s="16" t="str">
        <f t="shared" si="12"/>
        <v/>
      </c>
      <c r="BY20" s="16" t="str">
        <f t="shared" si="12"/>
        <v/>
      </c>
      <c r="BZ20" s="16" t="str">
        <f t="shared" si="12"/>
        <v/>
      </c>
      <c r="CA20" s="16" t="str">
        <f t="shared" si="12"/>
        <v/>
      </c>
      <c r="CB20" s="16" t="str">
        <f t="shared" si="12"/>
        <v/>
      </c>
      <c r="CC20" s="16" t="str">
        <f t="shared" si="12"/>
        <v/>
      </c>
      <c r="CD20" s="16" t="str">
        <f t="shared" si="12"/>
        <v/>
      </c>
      <c r="CE20" s="16" t="str">
        <f t="shared" si="12"/>
        <v/>
      </c>
      <c r="CF20" s="16" t="str">
        <f t="shared" si="12"/>
        <v/>
      </c>
      <c r="CG20" s="16" t="str">
        <f t="shared" si="12"/>
        <v/>
      </c>
      <c r="CH20" s="16" t="str">
        <f t="shared" si="12"/>
        <v/>
      </c>
      <c r="CI20" s="16" t="str">
        <f t="shared" si="12"/>
        <v/>
      </c>
      <c r="CJ20" s="16" t="str">
        <f t="shared" si="12"/>
        <v/>
      </c>
      <c r="CK20" s="16" t="str">
        <f t="shared" si="12"/>
        <v/>
      </c>
      <c r="CL20" s="16" t="str">
        <f t="shared" si="12"/>
        <v/>
      </c>
      <c r="CM20" s="16" t="str">
        <f t="shared" si="12"/>
        <v/>
      </c>
      <c r="CN20" s="16" t="str">
        <f t="shared" si="12"/>
        <v/>
      </c>
    </row>
    <row r="21" spans="1:92" x14ac:dyDescent="0.25">
      <c r="A21" s="164" t="s">
        <v>290</v>
      </c>
      <c r="B21" s="16" t="str">
        <f t="shared" ref="B21:L21" si="13">IF(B9&lt;0,"Coef corrente NEGATIVO","")</f>
        <v/>
      </c>
      <c r="C21" s="16" t="str">
        <f t="shared" si="13"/>
        <v/>
      </c>
      <c r="D21" s="16" t="str">
        <f t="shared" si="13"/>
        <v/>
      </c>
      <c r="E21" s="16" t="str">
        <f t="shared" si="13"/>
        <v/>
      </c>
      <c r="F21" s="16" t="str">
        <f t="shared" si="13"/>
        <v/>
      </c>
      <c r="G21" s="16" t="str">
        <f t="shared" si="13"/>
        <v/>
      </c>
      <c r="H21" s="16" t="str">
        <f t="shared" si="13"/>
        <v/>
      </c>
      <c r="I21" s="16" t="str">
        <f t="shared" si="13"/>
        <v/>
      </c>
      <c r="J21" s="16" t="str">
        <f t="shared" si="13"/>
        <v/>
      </c>
      <c r="K21" s="16" t="str">
        <f t="shared" si="13"/>
        <v/>
      </c>
      <c r="L21" s="16" t="str">
        <f t="shared" si="13"/>
        <v/>
      </c>
      <c r="M21" s="16" t="str">
        <f t="shared" ref="M21:BD21" si="14">IF(M9&lt;0,"Coef corrente NEGATIVO","")</f>
        <v/>
      </c>
      <c r="N21" s="16" t="str">
        <f t="shared" si="14"/>
        <v/>
      </c>
      <c r="O21" s="16" t="str">
        <f t="shared" si="14"/>
        <v/>
      </c>
      <c r="P21" s="16" t="str">
        <f t="shared" si="14"/>
        <v/>
      </c>
      <c r="Q21" s="16" t="str">
        <f t="shared" si="14"/>
        <v/>
      </c>
      <c r="R21" s="16" t="str">
        <f t="shared" si="14"/>
        <v/>
      </c>
      <c r="S21" s="16" t="str">
        <f t="shared" si="14"/>
        <v/>
      </c>
      <c r="T21" s="16" t="str">
        <f t="shared" si="14"/>
        <v/>
      </c>
      <c r="U21" s="16" t="str">
        <f t="shared" si="14"/>
        <v/>
      </c>
      <c r="V21" s="16" t="str">
        <f t="shared" si="14"/>
        <v/>
      </c>
      <c r="W21" s="16" t="str">
        <f t="shared" si="14"/>
        <v/>
      </c>
      <c r="X21" s="16" t="str">
        <f t="shared" si="14"/>
        <v/>
      </c>
      <c r="Y21" s="16" t="str">
        <f t="shared" si="14"/>
        <v/>
      </c>
      <c r="Z21" s="16" t="str">
        <f t="shared" si="14"/>
        <v/>
      </c>
      <c r="AA21" s="16" t="str">
        <f t="shared" si="14"/>
        <v/>
      </c>
      <c r="AB21" s="16" t="str">
        <f t="shared" si="14"/>
        <v/>
      </c>
      <c r="AC21" s="16" t="str">
        <f t="shared" si="14"/>
        <v/>
      </c>
      <c r="AD21" s="16" t="str">
        <f t="shared" si="14"/>
        <v/>
      </c>
      <c r="AE21" s="16" t="str">
        <f t="shared" si="14"/>
        <v/>
      </c>
      <c r="AF21" s="16" t="str">
        <f t="shared" si="14"/>
        <v/>
      </c>
      <c r="AG21" s="16" t="str">
        <f t="shared" si="14"/>
        <v/>
      </c>
      <c r="AH21" s="16" t="str">
        <f t="shared" si="14"/>
        <v/>
      </c>
      <c r="AI21" s="16" t="str">
        <f t="shared" si="14"/>
        <v/>
      </c>
      <c r="AJ21" s="16" t="str">
        <f t="shared" si="14"/>
        <v/>
      </c>
      <c r="AK21" s="16" t="str">
        <f t="shared" si="14"/>
        <v/>
      </c>
      <c r="AL21" s="16" t="str">
        <f t="shared" si="14"/>
        <v/>
      </c>
      <c r="AM21" s="16" t="str">
        <f t="shared" si="14"/>
        <v/>
      </c>
      <c r="AN21" s="16" t="str">
        <f t="shared" si="14"/>
        <v/>
      </c>
      <c r="AO21" s="16" t="str">
        <f t="shared" si="14"/>
        <v/>
      </c>
      <c r="AP21" s="16" t="str">
        <f t="shared" si="14"/>
        <v/>
      </c>
      <c r="AQ21" s="16" t="str">
        <f t="shared" si="14"/>
        <v/>
      </c>
      <c r="AR21" s="16" t="str">
        <f t="shared" si="14"/>
        <v/>
      </c>
      <c r="AS21" s="16" t="str">
        <f t="shared" si="14"/>
        <v/>
      </c>
      <c r="AT21" s="16" t="str">
        <f t="shared" si="14"/>
        <v/>
      </c>
      <c r="AU21" s="16" t="str">
        <f t="shared" si="14"/>
        <v/>
      </c>
      <c r="AV21" s="16" t="str">
        <f t="shared" si="14"/>
        <v/>
      </c>
      <c r="AW21" s="16" t="str">
        <f t="shared" si="14"/>
        <v/>
      </c>
      <c r="AX21" s="16" t="str">
        <f t="shared" si="14"/>
        <v/>
      </c>
      <c r="AY21" s="16" t="str">
        <f t="shared" si="14"/>
        <v/>
      </c>
      <c r="AZ21" s="16" t="str">
        <f t="shared" si="14"/>
        <v/>
      </c>
      <c r="BA21" s="16" t="str">
        <f t="shared" si="14"/>
        <v/>
      </c>
      <c r="BB21" s="16" t="str">
        <f t="shared" si="14"/>
        <v/>
      </c>
      <c r="BC21" s="16" t="str">
        <f t="shared" si="14"/>
        <v/>
      </c>
      <c r="BD21" s="16" t="str">
        <f t="shared" si="14"/>
        <v/>
      </c>
      <c r="BE21" s="16" t="str">
        <f t="shared" ref="BE21:BJ21" si="15">IF(BE9&lt;0,"Coef corrente NEGATIVO","")</f>
        <v/>
      </c>
      <c r="BF21" s="16" t="str">
        <f t="shared" si="15"/>
        <v/>
      </c>
      <c r="BG21" s="16" t="str">
        <f t="shared" si="15"/>
        <v/>
      </c>
      <c r="BH21" s="16" t="str">
        <f t="shared" si="15"/>
        <v/>
      </c>
      <c r="BI21" s="16" t="str">
        <f t="shared" si="15"/>
        <v/>
      </c>
      <c r="BJ21" s="16" t="str">
        <f t="shared" si="15"/>
        <v/>
      </c>
      <c r="BK21" s="16" t="str">
        <f t="shared" ref="BK21:CN21" si="16">IF(BK9&lt;0,"Coef corrente NEGATIVO","")</f>
        <v/>
      </c>
      <c r="BL21" s="16" t="str">
        <f t="shared" si="16"/>
        <v/>
      </c>
      <c r="BM21" s="16" t="str">
        <f t="shared" si="16"/>
        <v/>
      </c>
      <c r="BN21" s="16" t="str">
        <f t="shared" si="16"/>
        <v/>
      </c>
      <c r="BO21" s="16" t="str">
        <f t="shared" si="16"/>
        <v/>
      </c>
      <c r="BP21" s="16" t="str">
        <f t="shared" si="16"/>
        <v/>
      </c>
      <c r="BQ21" s="16" t="str">
        <f t="shared" si="16"/>
        <v/>
      </c>
      <c r="BR21" s="16" t="str">
        <f t="shared" si="16"/>
        <v/>
      </c>
      <c r="BS21" s="16" t="str">
        <f t="shared" si="16"/>
        <v/>
      </c>
      <c r="BT21" s="16" t="str">
        <f t="shared" si="16"/>
        <v/>
      </c>
      <c r="BU21" s="16" t="str">
        <f t="shared" si="16"/>
        <v/>
      </c>
      <c r="BV21" s="16" t="str">
        <f t="shared" si="16"/>
        <v/>
      </c>
      <c r="BW21" s="16" t="str">
        <f t="shared" si="16"/>
        <v/>
      </c>
      <c r="BX21" s="16" t="str">
        <f t="shared" si="16"/>
        <v/>
      </c>
      <c r="BY21" s="16" t="str">
        <f t="shared" si="16"/>
        <v/>
      </c>
      <c r="BZ21" s="16" t="str">
        <f t="shared" si="16"/>
        <v/>
      </c>
      <c r="CA21" s="16" t="str">
        <f t="shared" si="16"/>
        <v/>
      </c>
      <c r="CB21" s="16" t="str">
        <f t="shared" si="16"/>
        <v/>
      </c>
      <c r="CC21" s="16" t="str">
        <f t="shared" si="16"/>
        <v/>
      </c>
      <c r="CD21" s="16" t="str">
        <f t="shared" si="16"/>
        <v/>
      </c>
      <c r="CE21" s="16" t="str">
        <f t="shared" si="16"/>
        <v/>
      </c>
      <c r="CF21" s="16" t="str">
        <f t="shared" si="16"/>
        <v/>
      </c>
      <c r="CG21" s="16" t="str">
        <f t="shared" si="16"/>
        <v/>
      </c>
      <c r="CH21" s="16" t="str">
        <f t="shared" si="16"/>
        <v/>
      </c>
      <c r="CI21" s="16" t="str">
        <f t="shared" si="16"/>
        <v/>
      </c>
      <c r="CJ21" s="16" t="str">
        <f t="shared" si="16"/>
        <v/>
      </c>
      <c r="CK21" s="16" t="str">
        <f t="shared" si="16"/>
        <v/>
      </c>
      <c r="CL21" s="16" t="str">
        <f t="shared" si="16"/>
        <v/>
      </c>
      <c r="CM21" s="16" t="str">
        <f t="shared" si="16"/>
        <v/>
      </c>
      <c r="CN21" s="16" t="str">
        <f t="shared" si="16"/>
        <v/>
      </c>
    </row>
    <row r="22" spans="1:92" x14ac:dyDescent="0.25">
      <c r="A22" s="164" t="s">
        <v>291</v>
      </c>
      <c r="B22" s="16" t="str">
        <f t="shared" ref="B22:L22" si="17">IF(B10&gt;0,"Coef potência POSITIVO","")</f>
        <v/>
      </c>
      <c r="C22" s="16" t="str">
        <f t="shared" si="17"/>
        <v/>
      </c>
      <c r="D22" s="16" t="str">
        <f t="shared" si="17"/>
        <v/>
      </c>
      <c r="E22" s="16" t="str">
        <f t="shared" si="17"/>
        <v/>
      </c>
      <c r="F22" s="16" t="str">
        <f t="shared" si="17"/>
        <v/>
      </c>
      <c r="G22" s="16" t="str">
        <f t="shared" si="17"/>
        <v/>
      </c>
      <c r="H22" s="16" t="str">
        <f t="shared" si="17"/>
        <v/>
      </c>
      <c r="I22" s="16" t="str">
        <f t="shared" si="17"/>
        <v/>
      </c>
      <c r="J22" s="16" t="str">
        <f t="shared" si="17"/>
        <v/>
      </c>
      <c r="K22" s="16" t="str">
        <f t="shared" si="17"/>
        <v/>
      </c>
      <c r="L22" s="16" t="str">
        <f t="shared" si="17"/>
        <v/>
      </c>
      <c r="M22" s="16" t="str">
        <f t="shared" ref="M22:BD22" si="18">IF(M10&gt;0,"Coef potência POSITIVO","")</f>
        <v/>
      </c>
      <c r="N22" s="16" t="str">
        <f t="shared" si="18"/>
        <v/>
      </c>
      <c r="O22" s="16" t="str">
        <f t="shared" si="18"/>
        <v/>
      </c>
      <c r="P22" s="16" t="str">
        <f t="shared" si="18"/>
        <v/>
      </c>
      <c r="Q22" s="16" t="str">
        <f t="shared" si="18"/>
        <v/>
      </c>
      <c r="R22" s="16" t="str">
        <f t="shared" si="18"/>
        <v/>
      </c>
      <c r="S22" s="16" t="str">
        <f t="shared" si="18"/>
        <v/>
      </c>
      <c r="T22" s="16" t="str">
        <f t="shared" si="18"/>
        <v/>
      </c>
      <c r="U22" s="16" t="str">
        <f t="shared" si="18"/>
        <v/>
      </c>
      <c r="V22" s="16" t="str">
        <f t="shared" si="18"/>
        <v/>
      </c>
      <c r="W22" s="16" t="str">
        <f t="shared" si="18"/>
        <v/>
      </c>
      <c r="X22" s="16" t="str">
        <f t="shared" si="18"/>
        <v/>
      </c>
      <c r="Y22" s="16" t="str">
        <f t="shared" si="18"/>
        <v/>
      </c>
      <c r="Z22" s="16" t="str">
        <f t="shared" si="18"/>
        <v/>
      </c>
      <c r="AA22" s="16" t="str">
        <f t="shared" si="18"/>
        <v/>
      </c>
      <c r="AB22" s="16" t="str">
        <f t="shared" si="18"/>
        <v/>
      </c>
      <c r="AC22" s="16" t="str">
        <f t="shared" si="18"/>
        <v/>
      </c>
      <c r="AD22" s="16" t="str">
        <f t="shared" si="18"/>
        <v/>
      </c>
      <c r="AE22" s="16" t="str">
        <f t="shared" si="18"/>
        <v/>
      </c>
      <c r="AF22" s="16" t="str">
        <f t="shared" si="18"/>
        <v/>
      </c>
      <c r="AG22" s="16" t="str">
        <f t="shared" si="18"/>
        <v/>
      </c>
      <c r="AH22" s="16" t="str">
        <f t="shared" si="18"/>
        <v/>
      </c>
      <c r="AI22" s="16" t="str">
        <f t="shared" si="18"/>
        <v/>
      </c>
      <c r="AJ22" s="16" t="str">
        <f t="shared" si="18"/>
        <v/>
      </c>
      <c r="AK22" s="16" t="str">
        <f t="shared" si="18"/>
        <v/>
      </c>
      <c r="AL22" s="16" t="str">
        <f t="shared" si="18"/>
        <v/>
      </c>
      <c r="AM22" s="16" t="str">
        <f t="shared" si="18"/>
        <v/>
      </c>
      <c r="AN22" s="16" t="str">
        <f t="shared" si="18"/>
        <v/>
      </c>
      <c r="AO22" s="16" t="str">
        <f t="shared" si="18"/>
        <v/>
      </c>
      <c r="AP22" s="16" t="str">
        <f t="shared" si="18"/>
        <v/>
      </c>
      <c r="AQ22" s="16" t="str">
        <f t="shared" si="18"/>
        <v/>
      </c>
      <c r="AR22" s="16" t="str">
        <f t="shared" si="18"/>
        <v/>
      </c>
      <c r="AS22" s="16" t="str">
        <f t="shared" si="18"/>
        <v/>
      </c>
      <c r="AT22" s="16" t="str">
        <f t="shared" si="18"/>
        <v/>
      </c>
      <c r="AU22" s="16" t="str">
        <f t="shared" si="18"/>
        <v/>
      </c>
      <c r="AV22" s="16" t="str">
        <f t="shared" si="18"/>
        <v/>
      </c>
      <c r="AW22" s="16" t="str">
        <f t="shared" si="18"/>
        <v/>
      </c>
      <c r="AX22" s="16" t="str">
        <f t="shared" si="18"/>
        <v/>
      </c>
      <c r="AY22" s="16" t="str">
        <f t="shared" si="18"/>
        <v/>
      </c>
      <c r="AZ22" s="16" t="str">
        <f t="shared" si="18"/>
        <v/>
      </c>
      <c r="BA22" s="16" t="str">
        <f t="shared" si="18"/>
        <v/>
      </c>
      <c r="BB22" s="16" t="str">
        <f t="shared" si="18"/>
        <v/>
      </c>
      <c r="BC22" s="16" t="str">
        <f t="shared" si="18"/>
        <v/>
      </c>
      <c r="BD22" s="16" t="str">
        <f t="shared" si="18"/>
        <v/>
      </c>
      <c r="BE22" s="16" t="str">
        <f t="shared" ref="BE22:BJ22" si="19">IF(BE10&gt;0,"Coef potência POSITIVO","")</f>
        <v/>
      </c>
      <c r="BF22" s="16" t="str">
        <f t="shared" si="19"/>
        <v/>
      </c>
      <c r="BG22" s="16" t="str">
        <f t="shared" si="19"/>
        <v/>
      </c>
      <c r="BH22" s="16" t="str">
        <f t="shared" si="19"/>
        <v/>
      </c>
      <c r="BI22" s="16" t="str">
        <f t="shared" si="19"/>
        <v/>
      </c>
      <c r="BJ22" s="16" t="str">
        <f t="shared" si="19"/>
        <v/>
      </c>
      <c r="BK22" s="16" t="str">
        <f t="shared" ref="BK22:CN22" si="20">IF(BK10&gt;0,"Coef potência POSITIVO","")</f>
        <v/>
      </c>
      <c r="BL22" s="16" t="str">
        <f t="shared" si="20"/>
        <v/>
      </c>
      <c r="BM22" s="16" t="str">
        <f t="shared" si="20"/>
        <v/>
      </c>
      <c r="BN22" s="16" t="str">
        <f t="shared" si="20"/>
        <v/>
      </c>
      <c r="BO22" s="16" t="str">
        <f t="shared" si="20"/>
        <v/>
      </c>
      <c r="BP22" s="16" t="str">
        <f t="shared" si="20"/>
        <v/>
      </c>
      <c r="BQ22" s="16" t="str">
        <f t="shared" si="20"/>
        <v/>
      </c>
      <c r="BR22" s="16" t="str">
        <f t="shared" si="20"/>
        <v/>
      </c>
      <c r="BS22" s="16" t="str">
        <f t="shared" si="20"/>
        <v/>
      </c>
      <c r="BT22" s="16" t="str">
        <f t="shared" si="20"/>
        <v/>
      </c>
      <c r="BU22" s="16" t="str">
        <f t="shared" si="20"/>
        <v/>
      </c>
      <c r="BV22" s="16" t="str">
        <f t="shared" si="20"/>
        <v/>
      </c>
      <c r="BW22" s="16" t="str">
        <f t="shared" si="20"/>
        <v/>
      </c>
      <c r="BX22" s="16" t="str">
        <f t="shared" si="20"/>
        <v/>
      </c>
      <c r="BY22" s="16" t="str">
        <f t="shared" si="20"/>
        <v/>
      </c>
      <c r="BZ22" s="16" t="str">
        <f t="shared" si="20"/>
        <v/>
      </c>
      <c r="CA22" s="16" t="str">
        <f t="shared" si="20"/>
        <v/>
      </c>
      <c r="CB22" s="16" t="str">
        <f t="shared" si="20"/>
        <v/>
      </c>
      <c r="CC22" s="16" t="str">
        <f t="shared" si="20"/>
        <v/>
      </c>
      <c r="CD22" s="16" t="str">
        <f t="shared" si="20"/>
        <v/>
      </c>
      <c r="CE22" s="16" t="str">
        <f t="shared" si="20"/>
        <v/>
      </c>
      <c r="CF22" s="16" t="str">
        <f t="shared" si="20"/>
        <v/>
      </c>
      <c r="CG22" s="16" t="str">
        <f t="shared" si="20"/>
        <v/>
      </c>
      <c r="CH22" s="16" t="str">
        <f t="shared" si="20"/>
        <v/>
      </c>
      <c r="CI22" s="16" t="str">
        <f t="shared" si="20"/>
        <v/>
      </c>
      <c r="CJ22" s="16" t="str">
        <f t="shared" si="20"/>
        <v/>
      </c>
      <c r="CK22" s="16" t="str">
        <f t="shared" si="20"/>
        <v/>
      </c>
      <c r="CL22" s="16" t="str">
        <f t="shared" si="20"/>
        <v/>
      </c>
      <c r="CM22" s="16" t="str">
        <f t="shared" si="20"/>
        <v/>
      </c>
      <c r="CN22" s="16" t="str">
        <f t="shared" si="20"/>
        <v/>
      </c>
    </row>
    <row r="23" spans="1:92" x14ac:dyDescent="0.25">
      <c r="A23" s="166" t="s">
        <v>353</v>
      </c>
      <c r="B23" s="15"/>
      <c r="C23" s="16"/>
      <c r="D23" s="16"/>
      <c r="U23" s="1"/>
      <c r="V23" s="1"/>
    </row>
    <row r="24" spans="1:92" x14ac:dyDescent="0.25">
      <c r="A24" s="164"/>
      <c r="B24" s="15"/>
      <c r="C24" s="16"/>
      <c r="D24" s="16"/>
      <c r="U24" s="1"/>
      <c r="V24" s="1"/>
    </row>
    <row r="25" spans="1:92" x14ac:dyDescent="0.25">
      <c r="A25" s="16"/>
      <c r="B25" s="16"/>
      <c r="C25" s="16"/>
      <c r="D25" s="16"/>
      <c r="U25" s="8"/>
      <c r="V25" s="8"/>
    </row>
    <row r="26" spans="1:92" x14ac:dyDescent="0.25">
      <c r="A26" s="16"/>
      <c r="B26" s="16"/>
      <c r="C26" s="16"/>
      <c r="D26" s="16"/>
    </row>
    <row r="27" spans="1:92" x14ac:dyDescent="0.25">
      <c r="A27" s="16"/>
      <c r="B27" s="16"/>
      <c r="C27" s="16"/>
      <c r="D27" s="16"/>
    </row>
    <row r="28" spans="1:92" x14ac:dyDescent="0.25">
      <c r="A28" s="167" t="s">
        <v>354</v>
      </c>
      <c r="B28" s="16"/>
      <c r="C28" s="16"/>
      <c r="D28" s="16"/>
    </row>
    <row r="29" spans="1:92" x14ac:dyDescent="0.25">
      <c r="A29" s="16"/>
      <c r="B29" s="4" t="s">
        <v>78</v>
      </c>
      <c r="C29" s="4" t="s">
        <v>79</v>
      </c>
      <c r="D29" s="4" t="s">
        <v>80</v>
      </c>
      <c r="E29" s="4" t="s">
        <v>177</v>
      </c>
      <c r="F29" s="4" t="s">
        <v>175</v>
      </c>
      <c r="G29" s="4" t="s">
        <v>272</v>
      </c>
      <c r="H29" s="4" t="s">
        <v>81</v>
      </c>
      <c r="I29" s="4" t="s">
        <v>283</v>
      </c>
      <c r="J29" s="4" t="s">
        <v>282</v>
      </c>
      <c r="K29" s="4" t="s">
        <v>288</v>
      </c>
      <c r="L29" s="4" t="s">
        <v>264</v>
      </c>
      <c r="M29" s="4" t="s">
        <v>273</v>
      </c>
    </row>
    <row r="30" spans="1:92" x14ac:dyDescent="0.25">
      <c r="A30" s="16"/>
      <c r="B30" s="1">
        <v>320</v>
      </c>
      <c r="C30" s="1">
        <v>330</v>
      </c>
      <c r="D30" s="1">
        <v>400</v>
      </c>
      <c r="E30" s="1">
        <v>440</v>
      </c>
      <c r="F30" s="1">
        <v>540</v>
      </c>
      <c r="G30" s="1">
        <v>545</v>
      </c>
      <c r="H30" s="1">
        <v>340</v>
      </c>
      <c r="I30" s="1">
        <v>540</v>
      </c>
      <c r="J30" s="1">
        <v>550</v>
      </c>
      <c r="K30" s="1">
        <v>550</v>
      </c>
      <c r="L30" s="1">
        <v>450</v>
      </c>
      <c r="M30" s="1">
        <v>545</v>
      </c>
    </row>
    <row r="31" spans="1:92" x14ac:dyDescent="0.25">
      <c r="B31" s="1">
        <v>-0.32</v>
      </c>
      <c r="C31" s="1">
        <v>-0.32</v>
      </c>
      <c r="D31" s="1">
        <v>-0.31</v>
      </c>
      <c r="E31" s="1">
        <v>-0.31</v>
      </c>
      <c r="F31" s="1">
        <v>-0.31</v>
      </c>
      <c r="G31" s="1">
        <v>-0.31</v>
      </c>
      <c r="H31" s="1">
        <v>-0.3</v>
      </c>
      <c r="I31" s="1">
        <v>-0.25</v>
      </c>
      <c r="J31" s="1">
        <v>-0.32</v>
      </c>
      <c r="K31" s="1">
        <v>-0.31</v>
      </c>
      <c r="L31" s="1">
        <v>-0.28599999999999998</v>
      </c>
      <c r="M31" s="1">
        <v>-0.28499999999999998</v>
      </c>
    </row>
    <row r="32" spans="1:92" x14ac:dyDescent="0.25">
      <c r="B32" s="1">
        <v>0.05</v>
      </c>
      <c r="C32" s="1">
        <v>0.05</v>
      </c>
      <c r="D32" s="1">
        <v>0.05</v>
      </c>
      <c r="E32" s="1">
        <v>0.05</v>
      </c>
      <c r="F32" s="1">
        <v>0.05</v>
      </c>
      <c r="G32" s="1">
        <v>0.05</v>
      </c>
      <c r="H32" s="1">
        <v>0.06</v>
      </c>
      <c r="I32" s="1">
        <v>0.04</v>
      </c>
      <c r="J32" s="1">
        <v>0.05</v>
      </c>
      <c r="K32" s="1">
        <v>0.05</v>
      </c>
      <c r="L32" s="1">
        <v>5.7000000000000002E-2</v>
      </c>
      <c r="M32" s="1">
        <v>4.4999999999999998E-2</v>
      </c>
    </row>
    <row r="33" spans="2:13" x14ac:dyDescent="0.25">
      <c r="B33" s="1">
        <v>-0.41</v>
      </c>
      <c r="C33" s="1">
        <v>-0.41</v>
      </c>
      <c r="D33" s="1">
        <v>-0.38</v>
      </c>
      <c r="E33" s="1">
        <v>-0.35</v>
      </c>
      <c r="F33" s="1">
        <v>-0.35</v>
      </c>
      <c r="G33" s="1">
        <v>-0.35</v>
      </c>
      <c r="H33" s="1">
        <v>-0.4</v>
      </c>
      <c r="I33" s="1">
        <v>-0.34</v>
      </c>
      <c r="J33" s="1">
        <v>-0.39</v>
      </c>
      <c r="K33" s="1">
        <v>-0.35</v>
      </c>
      <c r="L33" s="1">
        <v>-0.37</v>
      </c>
      <c r="M33" s="1">
        <v>-0.35</v>
      </c>
    </row>
    <row r="34" spans="2:13" x14ac:dyDescent="0.25">
      <c r="B34" s="1">
        <v>37.1</v>
      </c>
      <c r="C34" s="1">
        <v>37.299999999999997</v>
      </c>
      <c r="D34" s="1">
        <v>42.8</v>
      </c>
      <c r="E34" s="1">
        <v>41.8</v>
      </c>
      <c r="F34" s="1">
        <v>41.8</v>
      </c>
      <c r="G34" s="1">
        <v>42.2</v>
      </c>
      <c r="H34" s="1">
        <v>37.42</v>
      </c>
      <c r="I34" s="1">
        <v>31.4</v>
      </c>
      <c r="J34" s="1">
        <v>42</v>
      </c>
      <c r="K34" s="1">
        <v>42.4</v>
      </c>
      <c r="L34" s="1">
        <v>41.4</v>
      </c>
      <c r="M34" s="1">
        <v>41.93</v>
      </c>
    </row>
    <row r="35" spans="2:13" x14ac:dyDescent="0.25">
      <c r="B35" s="1">
        <v>45.8</v>
      </c>
      <c r="C35" s="1">
        <v>46.1</v>
      </c>
      <c r="D35" s="1">
        <v>51.4</v>
      </c>
      <c r="E35" s="1">
        <v>49</v>
      </c>
      <c r="F35" s="1">
        <v>49.8</v>
      </c>
      <c r="G35" s="1">
        <v>50</v>
      </c>
      <c r="H35" s="1">
        <v>44.9</v>
      </c>
      <c r="I35" s="1">
        <v>37.700000000000003</v>
      </c>
      <c r="J35" s="1">
        <v>50.02</v>
      </c>
      <c r="K35" s="1">
        <v>50.2</v>
      </c>
      <c r="L35" s="1">
        <v>50.22</v>
      </c>
      <c r="M35" s="1">
        <f>49.9*1.03</f>
        <v>51.396999999999998</v>
      </c>
    </row>
    <row r="36" spans="2:13" x14ac:dyDescent="0.25">
      <c r="B36" s="1">
        <v>8.6300000000000008</v>
      </c>
      <c r="C36" s="1">
        <v>8.85</v>
      </c>
      <c r="D36" s="1">
        <v>9.35</v>
      </c>
      <c r="E36" s="1">
        <v>10.52</v>
      </c>
      <c r="F36" s="1">
        <v>12.8</v>
      </c>
      <c r="G36" s="1">
        <v>12.91</v>
      </c>
      <c r="H36" s="1">
        <v>9.09</v>
      </c>
      <c r="I36" s="1">
        <v>17.21</v>
      </c>
      <c r="J36" s="161">
        <v>13.1</v>
      </c>
      <c r="K36" s="1">
        <v>12.97</v>
      </c>
      <c r="L36" s="1">
        <v>10.87</v>
      </c>
      <c r="M36" s="161">
        <v>13</v>
      </c>
    </row>
    <row r="37" spans="2:13" x14ac:dyDescent="0.25">
      <c r="B37" s="8">
        <v>9.1</v>
      </c>
      <c r="C37" s="8">
        <v>9.2899999999999991</v>
      </c>
      <c r="D37" s="8">
        <v>9.8699999999999992</v>
      </c>
      <c r="E37" s="8">
        <v>11.29</v>
      </c>
      <c r="F37" s="8">
        <v>13.6</v>
      </c>
      <c r="G37" s="8">
        <v>13.72</v>
      </c>
      <c r="H37" s="8">
        <v>9.82</v>
      </c>
      <c r="I37" s="1">
        <v>18.3</v>
      </c>
      <c r="J37" s="162">
        <v>13.93</v>
      </c>
      <c r="K37" s="8">
        <v>13.78</v>
      </c>
      <c r="L37" s="8">
        <v>11.48</v>
      </c>
      <c r="M37" s="162">
        <f>13.81*1.03</f>
        <v>14.224300000000001</v>
      </c>
    </row>
  </sheetData>
  <sheetProtection select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AB5F7-0AFB-480B-94AF-0EF9B571D9BD}">
  <sheetPr codeName="Planilha4"/>
  <dimension ref="A1:K100"/>
  <sheetViews>
    <sheetView topLeftCell="A79" workbookViewId="0">
      <selection activeCell="G103" sqref="G103"/>
    </sheetView>
  </sheetViews>
  <sheetFormatPr defaultColWidth="9.140625" defaultRowHeight="15" x14ac:dyDescent="0.25"/>
  <cols>
    <col min="1" max="1" width="23.5703125" style="132" customWidth="1"/>
    <col min="2" max="2" width="23.5703125" style="112" customWidth="1"/>
    <col min="3" max="3" width="9.140625" style="115"/>
    <col min="4" max="16384" width="9.140625" style="111"/>
  </cols>
  <sheetData>
    <row r="1" spans="1:11" s="114" customFormat="1" ht="45" customHeight="1" x14ac:dyDescent="0.25">
      <c r="A1" s="140" t="s">
        <v>178</v>
      </c>
      <c r="B1" s="134" t="s">
        <v>275</v>
      </c>
      <c r="C1" s="141" t="s">
        <v>185</v>
      </c>
      <c r="D1" s="139"/>
      <c r="E1" s="139"/>
      <c r="F1" s="139"/>
      <c r="G1" s="139"/>
      <c r="H1" s="139"/>
      <c r="I1" s="139"/>
      <c r="J1" s="139"/>
      <c r="K1" s="139"/>
    </row>
    <row r="2" spans="1:11" s="118" customFormat="1" x14ac:dyDescent="0.25">
      <c r="A2" s="135" t="s">
        <v>179</v>
      </c>
      <c r="B2" s="116" t="s">
        <v>186</v>
      </c>
      <c r="C2" s="117" t="s">
        <v>184</v>
      </c>
    </row>
    <row r="3" spans="1:11" s="121" customFormat="1" x14ac:dyDescent="0.25">
      <c r="A3" s="136" t="s">
        <v>180</v>
      </c>
      <c r="B3" s="119" t="s">
        <v>186</v>
      </c>
      <c r="C3" s="120" t="s">
        <v>216</v>
      </c>
    </row>
    <row r="4" spans="1:11" s="125" customFormat="1" x14ac:dyDescent="0.25">
      <c r="A4" s="137" t="s">
        <v>181</v>
      </c>
      <c r="B4" s="123" t="s">
        <v>186</v>
      </c>
      <c r="C4" s="124" t="s">
        <v>187</v>
      </c>
    </row>
    <row r="5" spans="1:11" x14ac:dyDescent="0.25">
      <c r="A5" s="133"/>
      <c r="C5" s="115" t="s">
        <v>188</v>
      </c>
    </row>
    <row r="6" spans="1:11" x14ac:dyDescent="0.25">
      <c r="C6" s="115" t="s">
        <v>191</v>
      </c>
    </row>
    <row r="7" spans="1:11" x14ac:dyDescent="0.25">
      <c r="C7" s="115" t="s">
        <v>190</v>
      </c>
    </row>
    <row r="8" spans="1:11" s="118" customFormat="1" x14ac:dyDescent="0.25">
      <c r="A8" s="135"/>
      <c r="B8" s="116"/>
      <c r="C8" s="117" t="s">
        <v>192</v>
      </c>
    </row>
    <row r="9" spans="1:11" x14ac:dyDescent="0.25">
      <c r="A9" s="132" t="s">
        <v>182</v>
      </c>
      <c r="B9" s="113">
        <v>44057</v>
      </c>
      <c r="C9" s="115" t="s">
        <v>207</v>
      </c>
    </row>
    <row r="10" spans="1:11" x14ac:dyDescent="0.25">
      <c r="C10" s="115" t="s">
        <v>193</v>
      </c>
    </row>
    <row r="11" spans="1:11" x14ac:dyDescent="0.25">
      <c r="C11" s="115" t="s">
        <v>194</v>
      </c>
    </row>
    <row r="12" spans="1:11" s="118" customFormat="1" x14ac:dyDescent="0.25">
      <c r="A12" s="135"/>
      <c r="B12" s="116"/>
      <c r="C12" s="117" t="s">
        <v>195</v>
      </c>
    </row>
    <row r="13" spans="1:11" x14ac:dyDescent="0.25">
      <c r="A13" s="132" t="s">
        <v>197</v>
      </c>
      <c r="B13" s="113">
        <v>44202</v>
      </c>
      <c r="C13" s="115" t="s">
        <v>199</v>
      </c>
    </row>
    <row r="14" spans="1:11" x14ac:dyDescent="0.25">
      <c r="C14" s="115" t="s">
        <v>200</v>
      </c>
    </row>
    <row r="15" spans="1:11" x14ac:dyDescent="0.25">
      <c r="C15" s="115" t="s">
        <v>202</v>
      </c>
    </row>
    <row r="16" spans="1:11" x14ac:dyDescent="0.25">
      <c r="C16" s="115" t="s">
        <v>201</v>
      </c>
    </row>
    <row r="17" spans="1:3" x14ac:dyDescent="0.25">
      <c r="C17" s="115" t="s">
        <v>203</v>
      </c>
    </row>
    <row r="18" spans="1:3" s="118" customFormat="1" x14ac:dyDescent="0.25">
      <c r="A18" s="135"/>
      <c r="B18" s="116"/>
      <c r="C18" s="117" t="s">
        <v>204</v>
      </c>
    </row>
    <row r="19" spans="1:3" x14ac:dyDescent="0.25">
      <c r="A19" s="132" t="s">
        <v>183</v>
      </c>
      <c r="B19" s="113">
        <v>44266</v>
      </c>
      <c r="C19" s="115" t="s">
        <v>196</v>
      </c>
    </row>
    <row r="20" spans="1:3" x14ac:dyDescent="0.25">
      <c r="B20" s="113"/>
      <c r="C20" s="115" t="s">
        <v>198</v>
      </c>
    </row>
    <row r="21" spans="1:3" x14ac:dyDescent="0.25">
      <c r="B21" s="113"/>
      <c r="C21" s="115" t="s">
        <v>189</v>
      </c>
    </row>
    <row r="22" spans="1:3" x14ac:dyDescent="0.25">
      <c r="B22" s="113"/>
      <c r="C22" s="115" t="s">
        <v>206</v>
      </c>
    </row>
    <row r="23" spans="1:3" x14ac:dyDescent="0.25">
      <c r="C23" s="115" t="s">
        <v>205</v>
      </c>
    </row>
    <row r="24" spans="1:3" x14ac:dyDescent="0.25">
      <c r="C24" s="115" t="s">
        <v>213</v>
      </c>
    </row>
    <row r="25" spans="1:3" x14ac:dyDescent="0.25">
      <c r="C25" s="122" t="s">
        <v>210</v>
      </c>
    </row>
    <row r="26" spans="1:3" x14ac:dyDescent="0.25">
      <c r="C26" s="115" t="s">
        <v>212</v>
      </c>
    </row>
    <row r="27" spans="1:3" x14ac:dyDescent="0.25">
      <c r="C27" s="115" t="s">
        <v>215</v>
      </c>
    </row>
    <row r="28" spans="1:3" x14ac:dyDescent="0.25">
      <c r="C28" s="115" t="s">
        <v>218</v>
      </c>
    </row>
    <row r="29" spans="1:3" s="118" customFormat="1" x14ac:dyDescent="0.25">
      <c r="A29" s="135"/>
      <c r="B29" s="116"/>
      <c r="C29" s="117" t="s">
        <v>217</v>
      </c>
    </row>
    <row r="30" spans="1:3" x14ac:dyDescent="0.25">
      <c r="A30" s="132" t="s">
        <v>219</v>
      </c>
      <c r="B30" s="113">
        <v>44299</v>
      </c>
      <c r="C30" s="115" t="s">
        <v>220</v>
      </c>
    </row>
    <row r="31" spans="1:3" s="118" customFormat="1" x14ac:dyDescent="0.25">
      <c r="A31" s="135"/>
      <c r="B31" s="116"/>
      <c r="C31" s="117" t="s">
        <v>221</v>
      </c>
    </row>
    <row r="32" spans="1:3" s="121" customFormat="1" x14ac:dyDescent="0.25">
      <c r="A32" s="136" t="s">
        <v>231</v>
      </c>
      <c r="B32" s="138">
        <v>44300</v>
      </c>
      <c r="C32" s="120" t="s">
        <v>232</v>
      </c>
    </row>
    <row r="33" spans="1:3" x14ac:dyDescent="0.25">
      <c r="A33" s="137" t="s">
        <v>233</v>
      </c>
      <c r="B33" s="113">
        <v>44326</v>
      </c>
      <c r="C33" s="115" t="s">
        <v>234</v>
      </c>
    </row>
    <row r="34" spans="1:3" x14ac:dyDescent="0.25">
      <c r="C34" s="115" t="s">
        <v>235</v>
      </c>
    </row>
    <row r="35" spans="1:3" x14ac:dyDescent="0.25">
      <c r="C35" s="115" t="s">
        <v>238</v>
      </c>
    </row>
    <row r="36" spans="1:3" x14ac:dyDescent="0.25">
      <c r="C36" s="115" t="s">
        <v>258</v>
      </c>
    </row>
    <row r="37" spans="1:3" x14ac:dyDescent="0.25">
      <c r="C37" s="115" t="s">
        <v>239</v>
      </c>
    </row>
    <row r="38" spans="1:3" x14ac:dyDescent="0.25">
      <c r="C38" s="115" t="s">
        <v>259</v>
      </c>
    </row>
    <row r="39" spans="1:3" x14ac:dyDescent="0.25">
      <c r="C39" s="115" t="s">
        <v>240</v>
      </c>
    </row>
    <row r="40" spans="1:3" x14ac:dyDescent="0.25">
      <c r="C40" s="115" t="s">
        <v>242</v>
      </c>
    </row>
    <row r="41" spans="1:3" x14ac:dyDescent="0.25">
      <c r="C41" s="115" t="s">
        <v>245</v>
      </c>
    </row>
    <row r="42" spans="1:3" x14ac:dyDescent="0.25">
      <c r="C42" s="115" t="s">
        <v>250</v>
      </c>
    </row>
    <row r="43" spans="1:3" x14ac:dyDescent="0.25">
      <c r="C43" s="115" t="s">
        <v>251</v>
      </c>
    </row>
    <row r="44" spans="1:3" x14ac:dyDescent="0.25">
      <c r="C44" s="115" t="s">
        <v>253</v>
      </c>
    </row>
    <row r="45" spans="1:3" x14ac:dyDescent="0.25">
      <c r="C45" s="115" t="s">
        <v>254</v>
      </c>
    </row>
    <row r="46" spans="1:3" x14ac:dyDescent="0.25">
      <c r="C46" s="115" t="s">
        <v>256</v>
      </c>
    </row>
    <row r="47" spans="1:3" x14ac:dyDescent="0.25">
      <c r="C47" s="115" t="s">
        <v>257</v>
      </c>
    </row>
    <row r="48" spans="1:3" s="125" customFormat="1" x14ac:dyDescent="0.25">
      <c r="A48" s="137" t="s">
        <v>260</v>
      </c>
      <c r="B48" s="151">
        <v>44369</v>
      </c>
      <c r="C48" s="152" t="s">
        <v>265</v>
      </c>
    </row>
    <row r="49" spans="1:3" x14ac:dyDescent="0.25">
      <c r="C49" s="159" t="s">
        <v>261</v>
      </c>
    </row>
    <row r="50" spans="1:3" s="118" customFormat="1" x14ac:dyDescent="0.25">
      <c r="A50" s="135"/>
      <c r="B50" s="116"/>
      <c r="C50" s="117" t="s">
        <v>263</v>
      </c>
    </row>
    <row r="51" spans="1:3" x14ac:dyDescent="0.25">
      <c r="A51" s="132" t="s">
        <v>266</v>
      </c>
      <c r="B51" s="160">
        <v>44432</v>
      </c>
      <c r="C51" s="115" t="s">
        <v>267</v>
      </c>
    </row>
    <row r="52" spans="1:3" x14ac:dyDescent="0.25">
      <c r="C52" s="115" t="s">
        <v>268</v>
      </c>
    </row>
    <row r="53" spans="1:3" x14ac:dyDescent="0.25">
      <c r="C53" s="115" t="s">
        <v>274</v>
      </c>
    </row>
    <row r="54" spans="1:3" x14ac:dyDescent="0.25">
      <c r="C54" s="115" t="s">
        <v>271</v>
      </c>
    </row>
    <row r="55" spans="1:3" s="118" customFormat="1" x14ac:dyDescent="0.25">
      <c r="A55" s="135"/>
      <c r="B55" s="116"/>
      <c r="C55" s="117" t="s">
        <v>276</v>
      </c>
    </row>
    <row r="56" spans="1:3" x14ac:dyDescent="0.25">
      <c r="A56" s="132" t="s">
        <v>293</v>
      </c>
      <c r="B56" s="160">
        <v>44565</v>
      </c>
      <c r="C56" s="115" t="s">
        <v>298</v>
      </c>
    </row>
    <row r="57" spans="1:3" x14ac:dyDescent="0.25">
      <c r="C57" s="115" t="s">
        <v>279</v>
      </c>
    </row>
    <row r="58" spans="1:3" x14ac:dyDescent="0.25">
      <c r="C58" s="115" t="s">
        <v>280</v>
      </c>
    </row>
    <row r="59" spans="1:3" x14ac:dyDescent="0.25">
      <c r="C59" s="115" t="s">
        <v>278</v>
      </c>
    </row>
    <row r="60" spans="1:3" x14ac:dyDescent="0.25">
      <c r="C60" s="115" t="s">
        <v>284</v>
      </c>
    </row>
    <row r="61" spans="1:3" x14ac:dyDescent="0.25">
      <c r="C61" s="115" t="s">
        <v>287</v>
      </c>
    </row>
    <row r="62" spans="1:3" x14ac:dyDescent="0.25">
      <c r="C62" s="115" t="s">
        <v>292</v>
      </c>
    </row>
    <row r="63" spans="1:3" s="118" customFormat="1" x14ac:dyDescent="0.25">
      <c r="A63" s="135"/>
      <c r="B63" s="116"/>
      <c r="C63" s="117" t="s">
        <v>294</v>
      </c>
    </row>
    <row r="64" spans="1:3" x14ac:dyDescent="0.25">
      <c r="A64" s="132" t="s">
        <v>295</v>
      </c>
      <c r="B64" s="160">
        <v>44592</v>
      </c>
      <c r="C64" s="115" t="s">
        <v>296</v>
      </c>
    </row>
    <row r="65" spans="1:3" x14ac:dyDescent="0.25">
      <c r="C65" s="115" t="s">
        <v>299</v>
      </c>
    </row>
    <row r="66" spans="1:3" x14ac:dyDescent="0.25">
      <c r="C66" s="115" t="s">
        <v>297</v>
      </c>
    </row>
    <row r="67" spans="1:3" x14ac:dyDescent="0.25">
      <c r="C67" s="115" t="s">
        <v>300</v>
      </c>
    </row>
    <row r="68" spans="1:3" x14ac:dyDescent="0.25">
      <c r="C68" s="115" t="s">
        <v>301</v>
      </c>
    </row>
    <row r="69" spans="1:3" x14ac:dyDescent="0.25">
      <c r="C69" s="115" t="s">
        <v>310</v>
      </c>
    </row>
    <row r="70" spans="1:3" x14ac:dyDescent="0.25">
      <c r="C70" s="115" t="s">
        <v>302</v>
      </c>
    </row>
    <row r="71" spans="1:3" x14ac:dyDescent="0.25">
      <c r="C71" s="115" t="s">
        <v>303</v>
      </c>
    </row>
    <row r="72" spans="1:3" x14ac:dyDescent="0.25">
      <c r="C72" s="115" t="s">
        <v>304</v>
      </c>
    </row>
    <row r="73" spans="1:3" x14ac:dyDescent="0.25">
      <c r="C73" s="115" t="s">
        <v>309</v>
      </c>
    </row>
    <row r="74" spans="1:3" s="118" customFormat="1" x14ac:dyDescent="0.25">
      <c r="A74" s="135"/>
      <c r="B74" s="116"/>
      <c r="C74" s="117" t="s">
        <v>308</v>
      </c>
    </row>
    <row r="75" spans="1:3" x14ac:dyDescent="0.25">
      <c r="A75" s="132" t="s">
        <v>311</v>
      </c>
      <c r="B75" s="160">
        <v>44644</v>
      </c>
      <c r="C75" s="115" t="s">
        <v>312</v>
      </c>
    </row>
    <row r="76" spans="1:3" x14ac:dyDescent="0.25">
      <c r="C76" s="115" t="s">
        <v>317</v>
      </c>
    </row>
    <row r="77" spans="1:3" x14ac:dyDescent="0.25">
      <c r="C77" s="115" t="s">
        <v>318</v>
      </c>
    </row>
    <row r="78" spans="1:3" x14ac:dyDescent="0.25">
      <c r="C78" s="115" t="s">
        <v>320</v>
      </c>
    </row>
    <row r="79" spans="1:3" x14ac:dyDescent="0.25">
      <c r="C79" s="115" t="s">
        <v>319</v>
      </c>
    </row>
    <row r="80" spans="1:3" x14ac:dyDescent="0.25">
      <c r="C80" s="115" t="s">
        <v>321</v>
      </c>
    </row>
    <row r="81" spans="1:3" x14ac:dyDescent="0.25">
      <c r="C81" s="115" t="s">
        <v>322</v>
      </c>
    </row>
    <row r="82" spans="1:3" s="118" customFormat="1" x14ac:dyDescent="0.25">
      <c r="A82" s="135"/>
      <c r="B82" s="116"/>
      <c r="C82" s="117" t="s">
        <v>323</v>
      </c>
    </row>
    <row r="83" spans="1:3" x14ac:dyDescent="0.25">
      <c r="A83" s="132" t="s">
        <v>324</v>
      </c>
      <c r="B83" s="113">
        <v>44700</v>
      </c>
      <c r="C83" s="165" t="s">
        <v>414</v>
      </c>
    </row>
    <row r="84" spans="1:3" x14ac:dyDescent="0.25">
      <c r="C84" s="115" t="s">
        <v>330</v>
      </c>
    </row>
    <row r="85" spans="1:3" x14ac:dyDescent="0.25">
      <c r="C85" s="115" t="s">
        <v>366</v>
      </c>
    </row>
    <row r="86" spans="1:3" x14ac:dyDescent="0.25">
      <c r="C86" s="115" t="s">
        <v>365</v>
      </c>
    </row>
    <row r="87" spans="1:3" x14ac:dyDescent="0.25">
      <c r="C87" s="115" t="s">
        <v>368</v>
      </c>
    </row>
    <row r="88" spans="1:3" x14ac:dyDescent="0.25">
      <c r="C88" s="115" t="s">
        <v>367</v>
      </c>
    </row>
    <row r="89" spans="1:3" x14ac:dyDescent="0.25">
      <c r="C89" s="115" t="s">
        <v>351</v>
      </c>
    </row>
    <row r="90" spans="1:3" x14ac:dyDescent="0.25">
      <c r="C90" s="115" t="s">
        <v>363</v>
      </c>
    </row>
    <row r="91" spans="1:3" x14ac:dyDescent="0.25">
      <c r="C91" s="115" t="s">
        <v>364</v>
      </c>
    </row>
    <row r="92" spans="1:3" x14ac:dyDescent="0.25">
      <c r="C92" s="115" t="s">
        <v>382</v>
      </c>
    </row>
    <row r="93" spans="1:3" x14ac:dyDescent="0.25">
      <c r="C93" s="115" t="s">
        <v>389</v>
      </c>
    </row>
    <row r="94" spans="1:3" x14ac:dyDescent="0.25">
      <c r="C94" s="115" t="s">
        <v>390</v>
      </c>
    </row>
    <row r="95" spans="1:3" x14ac:dyDescent="0.25">
      <c r="C95" s="115" t="s">
        <v>399</v>
      </c>
    </row>
    <row r="96" spans="1:3" x14ac:dyDescent="0.25">
      <c r="C96" s="115" t="s">
        <v>400</v>
      </c>
    </row>
    <row r="97" spans="1:3" s="118" customFormat="1" x14ac:dyDescent="0.25">
      <c r="A97" s="135"/>
      <c r="B97" s="116"/>
      <c r="C97" s="117" t="s">
        <v>405</v>
      </c>
    </row>
    <row r="98" spans="1:3" x14ac:dyDescent="0.25">
      <c r="A98" s="132" t="s">
        <v>417</v>
      </c>
      <c r="B98" s="113">
        <v>44705</v>
      </c>
      <c r="C98" s="115" t="s">
        <v>411</v>
      </c>
    </row>
    <row r="99" spans="1:3" x14ac:dyDescent="0.25">
      <c r="C99" s="115" t="s">
        <v>415</v>
      </c>
    </row>
    <row r="100" spans="1:3" x14ac:dyDescent="0.25">
      <c r="C100" s="115" t="s">
        <v>416</v>
      </c>
    </row>
  </sheetData>
  <sheetProtection algorithmName="SHA-512" hashValue="T0js7e0nvvnyvbaierBvaG3AIqsfb6UGyzq429Jm6Me9SHIXJeFja4Y4ZT4pnw3ILlGSrkMSHZMLAtN7Ctslcg==" saltValue="pkG3KMEiCzvQgnuRQiUGdA==" spinCount="100000" sheet="1" select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DIMENSIONAMENTO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Alumifix Solar</cp:lastModifiedBy>
  <cp:lastPrinted>2021-05-10T18:16:23Z</cp:lastPrinted>
  <dcterms:created xsi:type="dcterms:W3CDTF">2020-07-06T13:14:22Z</dcterms:created>
  <dcterms:modified xsi:type="dcterms:W3CDTF">2022-06-03T18:22:02Z</dcterms:modified>
</cp:coreProperties>
</file>